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firstSheet="4" activeTab="7"/>
  </bookViews>
  <sheets>
    <sheet name="Datos Iniciales" sheetId="1" r:id="rId1"/>
    <sheet name="CostosVariablesProductos" sheetId="2" r:id="rId2"/>
    <sheet name="MC Empresa" sheetId="3" r:id="rId3"/>
    <sheet name="Inventario Activo fijos" sheetId="4" r:id="rId4"/>
    <sheet name="Depreciacion" sheetId="5" r:id="rId5"/>
    <sheet name="Costo Mano Obra" sheetId="6" r:id="rId6"/>
    <sheet name="Costos fijos y Gastos administ." sheetId="7" r:id="rId7"/>
    <sheet name="Punto de equilibrio" sheetId="8" r:id="rId8"/>
  </sheets>
  <definedNames>
    <definedName name="costosv">'Datos Iniciales'!$B$3:$E$50</definedName>
    <definedName name="costosv2">'Datos Iniciales'!$G$3:$J$34</definedName>
  </definedNames>
  <calcPr fullCalcOnLoad="1"/>
</workbook>
</file>

<file path=xl/sharedStrings.xml><?xml version="1.0" encoding="utf-8"?>
<sst xmlns="http://schemas.openxmlformats.org/spreadsheetml/2006/main" count="358" uniqueCount="175">
  <si>
    <t>NOMBRE DEL PRODUCTO</t>
  </si>
  <si>
    <t>CANTIDAD COSTEADA</t>
  </si>
  <si>
    <t>PRECIO DE VENTA</t>
  </si>
  <si>
    <t>UNIDADES VENDIDAS PROMEDIO MES</t>
  </si>
  <si>
    <t>UNIDAD DE</t>
  </si>
  <si>
    <t>VALOR DE</t>
  </si>
  <si>
    <t>UNIDADES</t>
  </si>
  <si>
    <t>COSTO TOTAL</t>
  </si>
  <si>
    <t>MATERIAS PRIMAS</t>
  </si>
  <si>
    <t>COMPRA</t>
  </si>
  <si>
    <t>CADA UNIDAD</t>
  </si>
  <si>
    <t>UTILIZADAS</t>
  </si>
  <si>
    <t>DE CADA</t>
  </si>
  <si>
    <t>DEL MATERIAL</t>
  </si>
  <si>
    <t xml:space="preserve">  DE COMPRA  (a)</t>
  </si>
  <si>
    <t>DEL MATERIAL (b)</t>
  </si>
  <si>
    <t>MATERIAL (axb)</t>
  </si>
  <si>
    <t xml:space="preserve">  TOTAL COSTO DE LAS MATERIAS PRIMAS (1)</t>
  </si>
  <si>
    <t>MANO DE OBRA AL DESTAJO</t>
  </si>
  <si>
    <t>COMISION POR VENTA</t>
  </si>
  <si>
    <t xml:space="preserve">       TOTAL DE OTROS COSTOS VARIABLES  (2)</t>
  </si>
  <si>
    <t xml:space="preserve">                     COSTO VARIABLE TOTAL  (1 + 2)</t>
  </si>
  <si>
    <t>válvula de neumático</t>
  </si>
  <si>
    <t>hilaza</t>
  </si>
  <si>
    <t>cordoban blanco</t>
  </si>
  <si>
    <t>Balon de Futbol</t>
  </si>
  <si>
    <t>cordoban negro</t>
  </si>
  <si>
    <t>Látex</t>
  </si>
  <si>
    <t>pegante</t>
  </si>
  <si>
    <t>Codigo</t>
  </si>
  <si>
    <t xml:space="preserve">Costos variables </t>
  </si>
  <si>
    <t>Producto</t>
  </si>
  <si>
    <t>gramos</t>
  </si>
  <si>
    <t>metro</t>
  </si>
  <si>
    <t>kilogramos</t>
  </si>
  <si>
    <t>caneca</t>
  </si>
  <si>
    <t>CODIGO</t>
  </si>
  <si>
    <t>UNIDAD DE COMPRA DEL MATERIAL</t>
  </si>
  <si>
    <t>VALOR UNIDAD DE COMPRA DEL MATERIAL</t>
  </si>
  <si>
    <t xml:space="preserve">unidad     </t>
  </si>
  <si>
    <t>OTROS COSTOS VARIABLES</t>
  </si>
  <si>
    <t>unidad</t>
  </si>
  <si>
    <t>EMPAQUES -malla</t>
  </si>
  <si>
    <t>COSTOS VARIABLES</t>
  </si>
  <si>
    <t>Balon micro Futbol</t>
  </si>
  <si>
    <t>precio venta</t>
  </si>
  <si>
    <t>MC $</t>
  </si>
  <si>
    <t>MC%</t>
  </si>
  <si>
    <t>MARGEN DE CONTRIBUCION PARA TODA LA EMPRESA</t>
  </si>
  <si>
    <t>PRODUCTO</t>
  </si>
  <si>
    <t>Balon Profesional</t>
  </si>
  <si>
    <t>Balon micro profesional</t>
  </si>
  <si>
    <t>precio</t>
  </si>
  <si>
    <t>Costo variable producto</t>
  </si>
  <si>
    <t>Unidades vendidas mes</t>
  </si>
  <si>
    <t>Precio venta del producto</t>
  </si>
  <si>
    <t>Margen de contribucion de la unidad</t>
  </si>
  <si>
    <t>Margen de contribucion de la unidad en %</t>
  </si>
  <si>
    <t>Venta del mes de cada producto</t>
  </si>
  <si>
    <t>Margen de Contribucion mes por producto</t>
  </si>
  <si>
    <t>Totales del mes</t>
  </si>
  <si>
    <t>Margen de contribucion en porcentaje para la empresa</t>
  </si>
  <si>
    <t>=</t>
  </si>
  <si>
    <t>(Margen contribucion total mes/venta total del mes) * 100</t>
  </si>
  <si>
    <t>Punto de equilibrio</t>
  </si>
  <si>
    <t>(Costos fijos y gastos adminstrativos mes) / Margen de contribucion en %)</t>
  </si>
  <si>
    <t>NOMBRE DEL ACTIVO</t>
  </si>
  <si>
    <t>CANTIDAD</t>
  </si>
  <si>
    <t xml:space="preserve">VALOR </t>
  </si>
  <si>
    <t>VALOR TOTAL</t>
  </si>
  <si>
    <t>(Cantidad de elementos iguales en su valor comercial)</t>
  </si>
  <si>
    <t>COMERCIAL DE</t>
  </si>
  <si>
    <t>ACTIVOS</t>
  </si>
  <si>
    <t>(a)</t>
  </si>
  <si>
    <t>LA UNIDAD (b)</t>
  </si>
  <si>
    <t>FIJOS  (axb)</t>
  </si>
  <si>
    <t>VALOR TOTAL DE LOS ACTIVOS</t>
  </si>
  <si>
    <t>Troqueladora</t>
  </si>
  <si>
    <t>Maquina hiladora</t>
  </si>
  <si>
    <t>Mesas</t>
  </si>
  <si>
    <t>moldes de horneado</t>
  </si>
  <si>
    <t>Horno para el  latex</t>
  </si>
  <si>
    <t>maquinas de coser planas</t>
  </si>
  <si>
    <t>herramientas varias</t>
  </si>
  <si>
    <t>horno de secamiento</t>
  </si>
  <si>
    <t>troqueles para cortar el plástico</t>
  </si>
  <si>
    <t>Depreciacion</t>
  </si>
  <si>
    <t>Vida util</t>
  </si>
  <si>
    <t>Años</t>
  </si>
  <si>
    <t>Meses</t>
  </si>
  <si>
    <t>Meses Diferidos</t>
  </si>
  <si>
    <t>Muebles y enseres</t>
  </si>
  <si>
    <t>Vehiculo</t>
  </si>
  <si>
    <t>Equipo de computo</t>
  </si>
  <si>
    <t>Maquinaria y equipos</t>
  </si>
  <si>
    <t>Edificio y locales</t>
  </si>
  <si>
    <t>Depreciacion mensual</t>
  </si>
  <si>
    <t>OBLIGACIONES</t>
  </si>
  <si>
    <t>SALARIO</t>
  </si>
  <si>
    <t>PRESTACIONES SOCIALES</t>
  </si>
  <si>
    <t>TOTAL</t>
  </si>
  <si>
    <t>APORTES</t>
  </si>
  <si>
    <t>*</t>
  </si>
  <si>
    <t>SUELDO</t>
  </si>
  <si>
    <t>SUBSIDIO</t>
  </si>
  <si>
    <t>INTERES</t>
  </si>
  <si>
    <t>PRESTACIONES</t>
  </si>
  <si>
    <t>SEGURIDAD</t>
  </si>
  <si>
    <t>APORTES Y</t>
  </si>
  <si>
    <t>COSTO</t>
  </si>
  <si>
    <t>DE</t>
  </si>
  <si>
    <t>CESANTIA</t>
  </si>
  <si>
    <t>VACACIONES</t>
  </si>
  <si>
    <t>PRIMA</t>
  </si>
  <si>
    <t>SOCIALES</t>
  </si>
  <si>
    <t>FAMILIAR</t>
  </si>
  <si>
    <t>SENA</t>
  </si>
  <si>
    <t>ICBF</t>
  </si>
  <si>
    <t>SOCIAL</t>
  </si>
  <si>
    <t>REAL DE UN</t>
  </si>
  <si>
    <t>EMPLEADOS</t>
  </si>
  <si>
    <t>BASICO</t>
  </si>
  <si>
    <t>TRANSPORTE</t>
  </si>
  <si>
    <t>OTROS</t>
  </si>
  <si>
    <t>TRABAJADOR</t>
  </si>
  <si>
    <t>¢</t>
  </si>
  <si>
    <t>§</t>
  </si>
  <si>
    <t>Se liquida con el total del salario</t>
  </si>
  <si>
    <t>Se liquida con el total del salario menos transporte</t>
  </si>
  <si>
    <t>Operario</t>
  </si>
  <si>
    <t>COSTOS FIJOS Y GASTOS ADMINISTRATIVOS</t>
  </si>
  <si>
    <t>SUELDOS FIJOS DE PRODUCCION</t>
  </si>
  <si>
    <t>SERVICIOS PUBLICOS</t>
  </si>
  <si>
    <t>DEPRECIACION MAQUINARIA Y EQUIPOS</t>
  </si>
  <si>
    <t>ARRENDAMIENTO</t>
  </si>
  <si>
    <t>MANTENIMIENTO DE EQUIPOS</t>
  </si>
  <si>
    <t>TRANSPORTE DE PRODUCCION</t>
  </si>
  <si>
    <t>INSUMOS Y OTROS</t>
  </si>
  <si>
    <t>Gas</t>
  </si>
  <si>
    <t>Troqueles</t>
  </si>
  <si>
    <t>TOTAL COSTOS FIJOS</t>
  </si>
  <si>
    <t>GASTOS ADMINISTRATIVOS</t>
  </si>
  <si>
    <t>SUELDOS DE ADMINISTRACION</t>
  </si>
  <si>
    <t>SUELDO EMPRESARIO</t>
  </si>
  <si>
    <t>TRANSPORTE ADMINISTRATIVO</t>
  </si>
  <si>
    <t>GASTOS DE PAPELERIA</t>
  </si>
  <si>
    <t>GASTOS DE PROPAGANDA</t>
  </si>
  <si>
    <t>DEPRECIACION MUEBLES Y ENSERES</t>
  </si>
  <si>
    <t>DEPRECIACION EQUIPO DE COMPUTO</t>
  </si>
  <si>
    <t>DEPRECIACION VEHICULOS</t>
  </si>
  <si>
    <t>MANTENIMIENTO VEHICULO</t>
  </si>
  <si>
    <t>ARRENDAMIENTO OFICINA O LOCAL</t>
  </si>
  <si>
    <t>SERVICIOS PUBLICOS OFICINA O LOCAL</t>
  </si>
  <si>
    <t>TELEFONO</t>
  </si>
  <si>
    <t>CELULAR, BEEPER, INTERNET</t>
  </si>
  <si>
    <t>GASTOS FINANCIEROS</t>
  </si>
  <si>
    <t>CAFETERIA</t>
  </si>
  <si>
    <t>ASEO</t>
  </si>
  <si>
    <t>IMPUESTOS</t>
  </si>
  <si>
    <t>VIGILANCIA</t>
  </si>
  <si>
    <t>TOTAL GASTOS DE ADMINISTRACION</t>
  </si>
  <si>
    <t>TOTAL COSTOS FIJOS MAS GASTOS DE ADMINISTRACION</t>
  </si>
  <si>
    <t>ESTADO DE RESULTADOS</t>
  </si>
  <si>
    <t>VENTAS</t>
  </si>
  <si>
    <t>Costos variables</t>
  </si>
  <si>
    <t>CV</t>
  </si>
  <si>
    <t>Margen de contribucion</t>
  </si>
  <si>
    <t>CF y GA</t>
  </si>
  <si>
    <t>Utilidad</t>
  </si>
  <si>
    <t>% Participacion</t>
  </si>
  <si>
    <t>Ventas promedios mes</t>
  </si>
  <si>
    <t xml:space="preserve">Margen de contribucion </t>
  </si>
  <si>
    <t xml:space="preserve">Costos fijos y gastos </t>
  </si>
  <si>
    <t xml:space="preserve"> (b)</t>
  </si>
  <si>
    <t>VALOR COMERCIAL DE LA UNIDAD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</si>
</sst>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_-;\-&quot;$&quot;* #,##0_-;_-&quot;$&quot;* &quot;-&quot;??_-;_-@_-"/>
    <numFmt numFmtId="165" formatCode="_(* #,##0_);_(* \(#,##0\);_(* &quot;-&quot;??_);_(@_)"/>
    <numFmt numFmtId="166" formatCode="_(&quot;$&quot;\ * #,##0_);_(&quot;$&quot;\ * \(#,##0\);_(&quot;$&quot;\ * &quot;-&quot;??_);_(@_)"/>
    <numFmt numFmtId="167" formatCode="0.0%"/>
    <numFmt numFmtId="168" formatCode="&quot;$&quot;#,##0_);\(&quot;$&quot;#,##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color indexed="8"/>
      <name val="Calibri"/>
      <family val="2"/>
    </font>
    <font>
      <sz val="5"/>
      <name val="Arial"/>
      <family val="2"/>
    </font>
    <font>
      <sz val="14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7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thick"/>
      <top style="thick"/>
      <bottom style="thick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7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 quotePrefix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 quotePrefix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 horizontal="centerContinuous"/>
    </xf>
    <xf numFmtId="0" fontId="3" fillId="0" borderId="24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2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 quotePrefix="1">
      <alignment horizontal="left"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44" fontId="2" fillId="0" borderId="14" xfId="48" applyFont="1" applyBorder="1" applyAlignment="1">
      <alignment/>
    </xf>
    <xf numFmtId="165" fontId="2" fillId="0" borderId="15" xfId="46" applyNumberFormat="1" applyFont="1" applyBorder="1" applyAlignment="1">
      <alignment/>
    </xf>
    <xf numFmtId="0" fontId="0" fillId="0" borderId="21" xfId="0" applyBorder="1" applyAlignment="1">
      <alignment/>
    </xf>
    <xf numFmtId="0" fontId="2" fillId="0" borderId="19" xfId="0" applyFont="1" applyBorder="1" applyAlignment="1">
      <alignment horizontal="center" wrapText="1"/>
    </xf>
    <xf numFmtId="0" fontId="0" fillId="0" borderId="22" xfId="0" applyFill="1" applyBorder="1" applyAlignment="1">
      <alignment/>
    </xf>
    <xf numFmtId="165" fontId="0" fillId="0" borderId="22" xfId="46" applyNumberFormat="1" applyFont="1" applyBorder="1" applyAlignment="1">
      <alignment/>
    </xf>
    <xf numFmtId="0" fontId="0" fillId="0" borderId="22" xfId="0" applyBorder="1" applyAlignment="1">
      <alignment horizontal="center"/>
    </xf>
    <xf numFmtId="165" fontId="0" fillId="0" borderId="22" xfId="0" applyNumberFormat="1" applyBorder="1" applyAlignment="1">
      <alignment/>
    </xf>
    <xf numFmtId="165" fontId="2" fillId="0" borderId="22" xfId="0" applyNumberFormat="1" applyFont="1" applyBorder="1" applyAlignment="1">
      <alignment/>
    </xf>
    <xf numFmtId="0" fontId="0" fillId="0" borderId="19" xfId="0" applyBorder="1" applyAlignment="1">
      <alignment/>
    </xf>
    <xf numFmtId="44" fontId="7" fillId="0" borderId="25" xfId="48" applyFont="1" applyBorder="1" applyAlignment="1">
      <alignment/>
    </xf>
    <xf numFmtId="165" fontId="7" fillId="0" borderId="22" xfId="0" applyNumberFormat="1" applyFont="1" applyBorder="1" applyAlignment="1" quotePrefix="1">
      <alignment horizontal="left"/>
    </xf>
    <xf numFmtId="0" fontId="3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50" fillId="0" borderId="13" xfId="0" applyFont="1" applyBorder="1" applyAlignment="1">
      <alignment/>
    </xf>
    <xf numFmtId="0" fontId="0" fillId="0" borderId="0" xfId="0" applyAlignment="1">
      <alignment horizontal="center"/>
    </xf>
    <xf numFmtId="43" fontId="0" fillId="0" borderId="22" xfId="46" applyNumberFormat="1" applyFont="1" applyBorder="1" applyAlignment="1">
      <alignment/>
    </xf>
    <xf numFmtId="44" fontId="0" fillId="0" borderId="0" xfId="0" applyNumberFormat="1" applyAlignment="1">
      <alignment/>
    </xf>
    <xf numFmtId="166" fontId="0" fillId="0" borderId="0" xfId="48" applyNumberFormat="1" applyFont="1" applyAlignment="1">
      <alignment/>
    </xf>
    <xf numFmtId="166" fontId="7" fillId="0" borderId="25" xfId="48" applyNumberFormat="1" applyFon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52" applyNumberFormat="1" applyFont="1" applyAlignment="1">
      <alignment/>
    </xf>
    <xf numFmtId="10" fontId="51" fillId="0" borderId="22" xfId="52" applyNumberFormat="1" applyFont="1" applyBorder="1" applyAlignment="1">
      <alignment/>
    </xf>
    <xf numFmtId="0" fontId="7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 quotePrefix="1">
      <alignment horizontal="center"/>
    </xf>
    <xf numFmtId="0" fontId="9" fillId="0" borderId="29" xfId="0" applyFont="1" applyBorder="1" applyAlignment="1" quotePrefix="1">
      <alignment horizontal="center"/>
    </xf>
    <xf numFmtId="0" fontId="9" fillId="0" borderId="30" xfId="0" applyFont="1" applyBorder="1" applyAlignment="1">
      <alignment horizontal="justify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9" fillId="0" borderId="31" xfId="0" applyFont="1" applyBorder="1" applyAlignment="1" quotePrefix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 quotePrefix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0" fillId="0" borderId="38" xfId="0" applyFont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6" fillId="0" borderId="40" xfId="0" applyFont="1" applyBorder="1" applyAlignment="1">
      <alignment horizontal="left"/>
    </xf>
    <xf numFmtId="0" fontId="6" fillId="0" borderId="40" xfId="0" applyFont="1" applyBorder="1" applyAlignment="1" quotePrefix="1">
      <alignment horizontal="left"/>
    </xf>
    <xf numFmtId="0" fontId="52" fillId="0" borderId="41" xfId="0" applyFont="1" applyBorder="1" applyAlignment="1">
      <alignment horizontal="left"/>
    </xf>
    <xf numFmtId="166" fontId="3" fillId="0" borderId="34" xfId="48" applyNumberFormat="1" applyFont="1" applyBorder="1" applyAlignment="1">
      <alignment horizontal="center"/>
    </xf>
    <xf numFmtId="166" fontId="3" fillId="0" borderId="35" xfId="48" applyNumberFormat="1" applyFont="1" applyBorder="1" applyAlignment="1">
      <alignment horizontal="center"/>
    </xf>
    <xf numFmtId="166" fontId="0" fillId="0" borderId="36" xfId="48" applyNumberFormat="1" applyFont="1" applyBorder="1" applyAlignment="1">
      <alignment/>
    </xf>
    <xf numFmtId="166" fontId="0" fillId="0" borderId="37" xfId="48" applyNumberFormat="1" applyFont="1" applyBorder="1" applyAlignment="1">
      <alignment/>
    </xf>
    <xf numFmtId="166" fontId="3" fillId="0" borderId="42" xfId="48" applyNumberFormat="1" applyFont="1" applyBorder="1" applyAlignment="1" quotePrefix="1">
      <alignment horizontal="right"/>
    </xf>
    <xf numFmtId="166" fontId="0" fillId="0" borderId="43" xfId="48" applyNumberFormat="1" applyFont="1" applyBorder="1" applyAlignment="1">
      <alignment horizontal="right"/>
    </xf>
    <xf numFmtId="166" fontId="0" fillId="33" borderId="44" xfId="0" applyNumberFormat="1" applyFill="1" applyBorder="1" applyAlignment="1">
      <alignment/>
    </xf>
    <xf numFmtId="0" fontId="0" fillId="0" borderId="22" xfId="0" applyBorder="1" applyAlignment="1">
      <alignment horizontal="center" wrapText="1"/>
    </xf>
    <xf numFmtId="0" fontId="53" fillId="0" borderId="0" xfId="0" applyFont="1" applyAlignment="1">
      <alignment/>
    </xf>
    <xf numFmtId="166" fontId="53" fillId="0" borderId="0" xfId="48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23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7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 quotePrefix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 quotePrefix="1">
      <alignment horizontal="center"/>
    </xf>
    <xf numFmtId="10" fontId="4" fillId="0" borderId="19" xfId="0" applyNumberFormat="1" applyFont="1" applyBorder="1" applyAlignment="1">
      <alignment horizontal="center"/>
    </xf>
    <xf numFmtId="9" fontId="4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 quotePrefix="1">
      <alignment horizontal="center"/>
    </xf>
    <xf numFmtId="10" fontId="4" fillId="0" borderId="21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Continuous"/>
    </xf>
    <xf numFmtId="0" fontId="15" fillId="0" borderId="12" xfId="0" applyFont="1" applyBorder="1" applyAlignment="1">
      <alignment horizontal="centerContinuous"/>
    </xf>
    <xf numFmtId="168" fontId="4" fillId="0" borderId="22" xfId="48" applyNumberFormat="1" applyFont="1" applyBorder="1" applyAlignment="1">
      <alignment horizontal="center"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12" xfId="0" applyFont="1" applyBorder="1" applyAlignment="1">
      <alignment/>
    </xf>
    <xf numFmtId="168" fontId="4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/>
    </xf>
    <xf numFmtId="1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8" fontId="15" fillId="0" borderId="22" xfId="0" applyNumberFormat="1" applyFont="1" applyBorder="1" applyAlignment="1">
      <alignment/>
    </xf>
    <xf numFmtId="165" fontId="15" fillId="0" borderId="22" xfId="46" applyNumberFormat="1" applyFont="1" applyBorder="1" applyAlignment="1">
      <alignment/>
    </xf>
    <xf numFmtId="165" fontId="15" fillId="0" borderId="22" xfId="46" applyNumberFormat="1" applyFont="1" applyBorder="1" applyAlignment="1">
      <alignment horizontal="center"/>
    </xf>
    <xf numFmtId="165" fontId="3" fillId="0" borderId="22" xfId="46" applyNumberFormat="1" applyFont="1" applyBorder="1" applyAlignment="1">
      <alignment/>
    </xf>
    <xf numFmtId="165" fontId="3" fillId="0" borderId="22" xfId="46" applyNumberFormat="1" applyFont="1" applyBorder="1" applyAlignment="1">
      <alignment horizontal="center"/>
    </xf>
    <xf numFmtId="164" fontId="0" fillId="0" borderId="22" xfId="48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quotePrefix="1">
      <alignment horizontal="left"/>
    </xf>
    <xf numFmtId="164" fontId="0" fillId="0" borderId="0" xfId="48" applyNumberFormat="1" applyFont="1" applyAlignment="1">
      <alignment/>
    </xf>
    <xf numFmtId="164" fontId="0" fillId="0" borderId="45" xfId="48" applyNumberFormat="1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23" xfId="0" applyFill="1" applyBorder="1" applyAlignment="1">
      <alignment/>
    </xf>
    <xf numFmtId="0" fontId="3" fillId="0" borderId="12" xfId="0" applyFont="1" applyBorder="1" applyAlignment="1">
      <alignment/>
    </xf>
    <xf numFmtId="164" fontId="3" fillId="0" borderId="22" xfId="48" applyNumberFormat="1" applyFont="1" applyBorder="1" applyAlignment="1">
      <alignment/>
    </xf>
    <xf numFmtId="0" fontId="6" fillId="0" borderId="23" xfId="0" applyFont="1" applyBorder="1" applyAlignment="1">
      <alignment/>
    </xf>
    <xf numFmtId="0" fontId="3" fillId="0" borderId="16" xfId="0" applyFont="1" applyBorder="1" applyAlignment="1">
      <alignment/>
    </xf>
    <xf numFmtId="164" fontId="0" fillId="0" borderId="46" xfId="48" applyNumberFormat="1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64" fontId="51" fillId="0" borderId="50" xfId="0" applyNumberFormat="1" applyFont="1" applyFill="1" applyBorder="1" applyAlignment="1">
      <alignment/>
    </xf>
    <xf numFmtId="166" fontId="0" fillId="0" borderId="22" xfId="0" applyNumberFormat="1" applyBorder="1" applyAlignment="1">
      <alignment/>
    </xf>
    <xf numFmtId="167" fontId="0" fillId="0" borderId="22" xfId="52" applyNumberFormat="1" applyFont="1" applyBorder="1" applyAlignment="1">
      <alignment/>
    </xf>
    <xf numFmtId="166" fontId="0" fillId="0" borderId="22" xfId="48" applyNumberFormat="1" applyFont="1" applyBorder="1" applyAlignment="1">
      <alignment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right"/>
    </xf>
    <xf numFmtId="0" fontId="54" fillId="0" borderId="0" xfId="0" applyFont="1" applyAlignment="1">
      <alignment horizontal="right"/>
    </xf>
    <xf numFmtId="10" fontId="55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10" fontId="51" fillId="0" borderId="0" xfId="52" applyNumberFormat="1" applyFont="1" applyBorder="1" applyAlignment="1">
      <alignment/>
    </xf>
    <xf numFmtId="0" fontId="54" fillId="0" borderId="22" xfId="0" applyFont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51" xfId="46" applyNumberFormat="1" applyFont="1" applyBorder="1" applyAlignment="1">
      <alignment/>
    </xf>
    <xf numFmtId="165" fontId="0" fillId="0" borderId="51" xfId="0" applyNumberFormat="1" applyBorder="1" applyAlignment="1">
      <alignment/>
    </xf>
    <xf numFmtId="165" fontId="0" fillId="0" borderId="33" xfId="46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Border="1" applyAlignment="1" quotePrefix="1">
      <alignment horizontal="center"/>
    </xf>
    <xf numFmtId="0" fontId="7" fillId="0" borderId="22" xfId="0" applyFont="1" applyBorder="1" applyAlignment="1">
      <alignment horizontal="center"/>
    </xf>
    <xf numFmtId="0" fontId="3" fillId="0" borderId="22" xfId="0" applyFont="1" applyBorder="1" applyAlignment="1" quotePrefix="1">
      <alignment horizontal="center" wrapText="1"/>
    </xf>
    <xf numFmtId="0" fontId="9" fillId="0" borderId="12" xfId="0" applyFont="1" applyBorder="1" applyAlignment="1" quotePrefix="1">
      <alignment horizontal="center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 quotePrefix="1">
      <alignment horizontal="left"/>
    </xf>
    <xf numFmtId="0" fontId="52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44" fontId="0" fillId="0" borderId="0" xfId="48" applyFont="1" applyBorder="1" applyAlignment="1">
      <alignment/>
    </xf>
    <xf numFmtId="0" fontId="7" fillId="0" borderId="0" xfId="0" applyFont="1" applyBorder="1" applyAlignment="1">
      <alignment horizontal="center"/>
    </xf>
    <xf numFmtId="9" fontId="0" fillId="0" borderId="22" xfId="52" applyFont="1" applyBorder="1" applyAlignment="1">
      <alignment/>
    </xf>
    <xf numFmtId="0" fontId="55" fillId="0" borderId="22" xfId="0" applyFont="1" applyBorder="1" applyAlignment="1">
      <alignment/>
    </xf>
    <xf numFmtId="166" fontId="55" fillId="0" borderId="22" xfId="48" applyNumberFormat="1" applyFont="1" applyBorder="1" applyAlignment="1">
      <alignment/>
    </xf>
    <xf numFmtId="167" fontId="55" fillId="0" borderId="22" xfId="52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24" xfId="0" applyFont="1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31</xdr:row>
      <xdr:rowOff>152400</xdr:rowOff>
    </xdr:from>
    <xdr:to>
      <xdr:col>4</xdr:col>
      <xdr:colOff>714375</xdr:colOff>
      <xdr:row>33</xdr:row>
      <xdr:rowOff>19050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4886325" y="6057900"/>
          <a:ext cx="295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=</a:t>
          </a:r>
        </a:p>
      </xdr:txBody>
    </xdr:sp>
    <xdr:clientData/>
  </xdr:twoCellAnchor>
  <xdr:twoCellAnchor>
    <xdr:from>
      <xdr:col>2</xdr:col>
      <xdr:colOff>180975</xdr:colOff>
      <xdr:row>31</xdr:row>
      <xdr:rowOff>180975</xdr:rowOff>
    </xdr:from>
    <xdr:to>
      <xdr:col>2</xdr:col>
      <xdr:colOff>476250</xdr:colOff>
      <xdr:row>33</xdr:row>
      <xdr:rowOff>47625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2743200" y="6086475"/>
          <a:ext cx="295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÷</a:t>
          </a:r>
        </a:p>
      </xdr:txBody>
    </xdr:sp>
    <xdr:clientData/>
  </xdr:twoCellAnchor>
  <xdr:twoCellAnchor>
    <xdr:from>
      <xdr:col>11</xdr:col>
      <xdr:colOff>419100</xdr:colOff>
      <xdr:row>31</xdr:row>
      <xdr:rowOff>152400</xdr:rowOff>
    </xdr:from>
    <xdr:to>
      <xdr:col>11</xdr:col>
      <xdr:colOff>714375</xdr:colOff>
      <xdr:row>33</xdr:row>
      <xdr:rowOff>19050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1201400" y="6057900"/>
          <a:ext cx="295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=</a:t>
          </a:r>
        </a:p>
      </xdr:txBody>
    </xdr:sp>
    <xdr:clientData/>
  </xdr:twoCellAnchor>
  <xdr:twoCellAnchor>
    <xdr:from>
      <xdr:col>9</xdr:col>
      <xdr:colOff>180975</xdr:colOff>
      <xdr:row>31</xdr:row>
      <xdr:rowOff>180975</xdr:rowOff>
    </xdr:from>
    <xdr:to>
      <xdr:col>9</xdr:col>
      <xdr:colOff>476250</xdr:colOff>
      <xdr:row>33</xdr:row>
      <xdr:rowOff>47625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9439275" y="6086475"/>
          <a:ext cx="295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÷</a:t>
          </a:r>
        </a:p>
      </xdr:txBody>
    </xdr:sp>
    <xdr:clientData/>
  </xdr:twoCellAnchor>
  <xdr:twoCellAnchor>
    <xdr:from>
      <xdr:col>18</xdr:col>
      <xdr:colOff>419100</xdr:colOff>
      <xdr:row>31</xdr:row>
      <xdr:rowOff>152400</xdr:rowOff>
    </xdr:from>
    <xdr:to>
      <xdr:col>18</xdr:col>
      <xdr:colOff>714375</xdr:colOff>
      <xdr:row>33</xdr:row>
      <xdr:rowOff>19050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17154525" y="6057900"/>
          <a:ext cx="295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=</a:t>
          </a:r>
        </a:p>
      </xdr:txBody>
    </xdr:sp>
    <xdr:clientData/>
  </xdr:twoCellAnchor>
  <xdr:twoCellAnchor>
    <xdr:from>
      <xdr:col>16</xdr:col>
      <xdr:colOff>180975</xdr:colOff>
      <xdr:row>31</xdr:row>
      <xdr:rowOff>180975</xdr:rowOff>
    </xdr:from>
    <xdr:to>
      <xdr:col>16</xdr:col>
      <xdr:colOff>476250</xdr:colOff>
      <xdr:row>33</xdr:row>
      <xdr:rowOff>47625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15392400" y="6086475"/>
          <a:ext cx="295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÷</a:t>
          </a:r>
        </a:p>
      </xdr:txBody>
    </xdr:sp>
    <xdr:clientData/>
  </xdr:twoCellAnchor>
  <xdr:twoCellAnchor>
    <xdr:from>
      <xdr:col>25</xdr:col>
      <xdr:colOff>419100</xdr:colOff>
      <xdr:row>31</xdr:row>
      <xdr:rowOff>152400</xdr:rowOff>
    </xdr:from>
    <xdr:to>
      <xdr:col>25</xdr:col>
      <xdr:colOff>714375</xdr:colOff>
      <xdr:row>33</xdr:row>
      <xdr:rowOff>19050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3155275" y="6057900"/>
          <a:ext cx="295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=</a:t>
          </a:r>
        </a:p>
      </xdr:txBody>
    </xdr:sp>
    <xdr:clientData/>
  </xdr:twoCellAnchor>
  <xdr:twoCellAnchor>
    <xdr:from>
      <xdr:col>23</xdr:col>
      <xdr:colOff>180975</xdr:colOff>
      <xdr:row>31</xdr:row>
      <xdr:rowOff>180975</xdr:rowOff>
    </xdr:from>
    <xdr:to>
      <xdr:col>23</xdr:col>
      <xdr:colOff>476250</xdr:colOff>
      <xdr:row>33</xdr:row>
      <xdr:rowOff>47625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1393150" y="6086475"/>
          <a:ext cx="295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2</xdr:col>
      <xdr:colOff>19050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0050"/>
          <a:ext cx="15240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T1">
      <selection activeCell="Z3" sqref="Z3:AC3"/>
    </sheetView>
  </sheetViews>
  <sheetFormatPr defaultColWidth="11.421875" defaultRowHeight="15"/>
  <cols>
    <col min="1" max="1" width="25.57421875" style="0" customWidth="1"/>
    <col min="3" max="3" width="22.421875" style="0" customWidth="1"/>
    <col min="5" max="5" width="13.421875" style="0" customWidth="1"/>
    <col min="6" max="6" width="5.28125" style="0" customWidth="1"/>
    <col min="8" max="8" width="22.28125" style="0" bestFit="1" customWidth="1"/>
    <col min="11" max="11" width="4.421875" style="0" customWidth="1"/>
    <col min="13" max="13" width="16.7109375" style="0" bestFit="1" customWidth="1"/>
    <col min="15" max="15" width="12.00390625" style="0" bestFit="1" customWidth="1"/>
    <col min="16" max="16" width="4.421875" style="0" customWidth="1"/>
    <col min="18" max="18" width="22.28125" style="0" bestFit="1" customWidth="1"/>
    <col min="21" max="21" width="5.28125" style="0" customWidth="1"/>
    <col min="22" max="22" width="31.421875" style="0" customWidth="1"/>
    <col min="23" max="23" width="11.7109375" style="0" customWidth="1"/>
    <col min="25" max="25" width="3.8515625" style="0" customWidth="1"/>
    <col min="26" max="26" width="15.7109375" style="0" customWidth="1"/>
    <col min="27" max="27" width="29.421875" style="0" customWidth="1"/>
    <col min="29" max="29" width="16.8515625" style="0" customWidth="1"/>
  </cols>
  <sheetData>
    <row r="1" spans="2:20" s="7" customFormat="1" ht="15">
      <c r="B1" s="175" t="s">
        <v>30</v>
      </c>
      <c r="C1" s="175"/>
      <c r="D1" s="175"/>
      <c r="E1" s="175"/>
      <c r="G1" s="175" t="s">
        <v>30</v>
      </c>
      <c r="H1" s="175"/>
      <c r="I1" s="175"/>
      <c r="J1" s="175"/>
      <c r="L1" s="175" t="s">
        <v>30</v>
      </c>
      <c r="M1" s="175"/>
      <c r="N1" s="175"/>
      <c r="O1" s="175"/>
      <c r="Q1" s="175" t="s">
        <v>30</v>
      </c>
      <c r="R1" s="175"/>
      <c r="S1" s="175"/>
      <c r="T1" s="175"/>
    </row>
    <row r="2" spans="2:29" s="7" customFormat="1" ht="15.75">
      <c r="B2" s="7" t="s">
        <v>31</v>
      </c>
      <c r="C2" s="168" t="s">
        <v>25</v>
      </c>
      <c r="D2" s="168" t="s">
        <v>52</v>
      </c>
      <c r="E2" s="169">
        <v>4700</v>
      </c>
      <c r="G2" s="7" t="s">
        <v>31</v>
      </c>
      <c r="H2" s="168" t="s">
        <v>44</v>
      </c>
      <c r="I2" s="168" t="s">
        <v>52</v>
      </c>
      <c r="J2" s="169">
        <v>3700</v>
      </c>
      <c r="L2" s="7" t="s">
        <v>31</v>
      </c>
      <c r="M2" s="168" t="s">
        <v>50</v>
      </c>
      <c r="N2" s="168" t="s">
        <v>52</v>
      </c>
      <c r="O2" s="169">
        <v>10000</v>
      </c>
      <c r="Q2" s="7" t="s">
        <v>31</v>
      </c>
      <c r="R2" s="168" t="s">
        <v>51</v>
      </c>
      <c r="S2" s="168" t="s">
        <v>52</v>
      </c>
      <c r="T2" s="169">
        <v>8000</v>
      </c>
      <c r="AA2" s="170"/>
      <c r="AC2" s="161"/>
    </row>
    <row r="3" spans="2:29" ht="45.75">
      <c r="B3" s="34" t="s">
        <v>29</v>
      </c>
      <c r="C3" s="14" t="s">
        <v>8</v>
      </c>
      <c r="D3" s="35" t="s">
        <v>37</v>
      </c>
      <c r="E3" s="35" t="s">
        <v>38</v>
      </c>
      <c r="G3" s="34" t="s">
        <v>29</v>
      </c>
      <c r="H3" s="14" t="s">
        <v>8</v>
      </c>
      <c r="I3" s="35" t="s">
        <v>37</v>
      </c>
      <c r="J3" s="35" t="s">
        <v>38</v>
      </c>
      <c r="L3" s="34" t="s">
        <v>29</v>
      </c>
      <c r="M3" s="14" t="s">
        <v>8</v>
      </c>
      <c r="N3" s="35" t="s">
        <v>37</v>
      </c>
      <c r="O3" s="35" t="s">
        <v>38</v>
      </c>
      <c r="Q3" s="34" t="s">
        <v>29</v>
      </c>
      <c r="R3" s="14" t="s">
        <v>8</v>
      </c>
      <c r="S3" s="35" t="s">
        <v>37</v>
      </c>
      <c r="T3" s="35" t="s">
        <v>38</v>
      </c>
      <c r="V3" t="s">
        <v>130</v>
      </c>
      <c r="Z3" s="125"/>
      <c r="AA3" s="162" t="s">
        <v>66</v>
      </c>
      <c r="AB3" s="115" t="s">
        <v>67</v>
      </c>
      <c r="AC3" s="163" t="s">
        <v>174</v>
      </c>
    </row>
    <row r="4" spans="2:29" ht="15">
      <c r="B4" s="20">
        <v>101</v>
      </c>
      <c r="C4" s="20" t="s">
        <v>22</v>
      </c>
      <c r="D4" s="20" t="s">
        <v>39</v>
      </c>
      <c r="E4" s="37">
        <v>1200</v>
      </c>
      <c r="G4" s="20">
        <v>501</v>
      </c>
      <c r="H4" s="20" t="s">
        <v>22</v>
      </c>
      <c r="I4" s="20" t="s">
        <v>39</v>
      </c>
      <c r="J4" s="37">
        <v>1200</v>
      </c>
      <c r="L4" s="20"/>
      <c r="M4" s="20"/>
      <c r="N4" s="20"/>
      <c r="O4" s="37"/>
      <c r="Q4" s="20"/>
      <c r="R4" s="20"/>
      <c r="S4" s="20"/>
      <c r="T4" s="37"/>
      <c r="Z4" s="20"/>
      <c r="AA4" s="164"/>
      <c r="AB4" s="115" t="s">
        <v>73</v>
      </c>
      <c r="AC4" s="115" t="s">
        <v>173</v>
      </c>
    </row>
    <row r="5" spans="2:29" ht="15">
      <c r="B5" s="20">
        <v>102</v>
      </c>
      <c r="C5" s="20" t="s">
        <v>23</v>
      </c>
      <c r="D5" s="20" t="s">
        <v>32</v>
      </c>
      <c r="E5" s="37">
        <v>8</v>
      </c>
      <c r="G5" s="20">
        <v>502</v>
      </c>
      <c r="H5" s="20" t="s">
        <v>23</v>
      </c>
      <c r="I5" s="20" t="s">
        <v>32</v>
      </c>
      <c r="J5" s="37">
        <v>8</v>
      </c>
      <c r="L5" s="20"/>
      <c r="M5" s="20"/>
      <c r="N5" s="20"/>
      <c r="O5" s="37"/>
      <c r="Q5" s="20"/>
      <c r="R5" s="20"/>
      <c r="S5" s="20"/>
      <c r="T5" s="37"/>
      <c r="V5" t="s">
        <v>131</v>
      </c>
      <c r="Z5" s="20">
        <v>1001</v>
      </c>
      <c r="AA5" s="165" t="s">
        <v>77</v>
      </c>
      <c r="AB5" s="69">
        <v>2</v>
      </c>
      <c r="AC5" s="79">
        <v>2500000</v>
      </c>
    </row>
    <row r="6" spans="2:29" ht="15">
      <c r="B6" s="20">
        <v>103</v>
      </c>
      <c r="C6" s="20" t="s">
        <v>24</v>
      </c>
      <c r="D6" s="20" t="s">
        <v>33</v>
      </c>
      <c r="E6" s="37">
        <v>5500</v>
      </c>
      <c r="G6" s="20">
        <v>503</v>
      </c>
      <c r="H6" s="20" t="s">
        <v>24</v>
      </c>
      <c r="I6" s="20" t="s">
        <v>33</v>
      </c>
      <c r="J6" s="37">
        <v>5500</v>
      </c>
      <c r="L6" s="20"/>
      <c r="M6" s="20"/>
      <c r="N6" s="20"/>
      <c r="O6" s="37"/>
      <c r="Q6" s="20"/>
      <c r="R6" s="20"/>
      <c r="S6" s="20"/>
      <c r="T6" s="37"/>
      <c r="V6" s="20" t="s">
        <v>129</v>
      </c>
      <c r="W6" s="124"/>
      <c r="Z6" s="20">
        <v>1002</v>
      </c>
      <c r="AA6" s="166" t="s">
        <v>78</v>
      </c>
      <c r="AB6" s="69">
        <v>1</v>
      </c>
      <c r="AC6" s="79">
        <v>4000000</v>
      </c>
    </row>
    <row r="7" spans="2:29" ht="15">
      <c r="B7" s="20">
        <v>104</v>
      </c>
      <c r="C7" s="20" t="s">
        <v>26</v>
      </c>
      <c r="D7" s="20" t="s">
        <v>33</v>
      </c>
      <c r="E7" s="37">
        <v>5500</v>
      </c>
      <c r="G7" s="20">
        <v>504</v>
      </c>
      <c r="H7" s="20" t="s">
        <v>26</v>
      </c>
      <c r="I7" s="20" t="s">
        <v>33</v>
      </c>
      <c r="J7" s="37">
        <v>5500</v>
      </c>
      <c r="L7" s="20"/>
      <c r="M7" s="20"/>
      <c r="N7" s="20"/>
      <c r="O7" s="37"/>
      <c r="Q7" s="20"/>
      <c r="R7" s="20"/>
      <c r="S7" s="20"/>
      <c r="T7" s="37"/>
      <c r="V7" s="20"/>
      <c r="W7" s="36"/>
      <c r="X7" s="124"/>
      <c r="Z7" s="20">
        <v>1003</v>
      </c>
      <c r="AA7" s="166" t="s">
        <v>79</v>
      </c>
      <c r="AB7" s="69">
        <v>3</v>
      </c>
      <c r="AC7" s="79">
        <v>150000</v>
      </c>
    </row>
    <row r="8" spans="2:29" ht="15">
      <c r="B8" s="20">
        <v>105</v>
      </c>
      <c r="C8" s="20" t="s">
        <v>27</v>
      </c>
      <c r="D8" s="20" t="s">
        <v>34</v>
      </c>
      <c r="E8" s="37">
        <v>3750</v>
      </c>
      <c r="G8" s="20">
        <v>505</v>
      </c>
      <c r="H8" s="20" t="s">
        <v>27</v>
      </c>
      <c r="I8" s="20" t="s">
        <v>34</v>
      </c>
      <c r="J8" s="37">
        <v>3750</v>
      </c>
      <c r="L8" s="20"/>
      <c r="M8" s="20"/>
      <c r="N8" s="20"/>
      <c r="O8" s="37"/>
      <c r="Q8" s="20"/>
      <c r="R8" s="20"/>
      <c r="S8" s="20"/>
      <c r="T8" s="37"/>
      <c r="V8" s="125" t="s">
        <v>99</v>
      </c>
      <c r="W8" s="126"/>
      <c r="X8" s="124"/>
      <c r="Z8" s="20">
        <v>1004</v>
      </c>
      <c r="AA8" s="166" t="s">
        <v>80</v>
      </c>
      <c r="AB8" s="69">
        <v>3</v>
      </c>
      <c r="AC8" s="79">
        <v>100000</v>
      </c>
    </row>
    <row r="9" spans="2:29" ht="15">
      <c r="B9" s="20">
        <v>106</v>
      </c>
      <c r="C9" s="20" t="s">
        <v>28</v>
      </c>
      <c r="D9" s="20" t="s">
        <v>35</v>
      </c>
      <c r="E9" s="37">
        <v>1000</v>
      </c>
      <c r="G9" s="20">
        <v>506</v>
      </c>
      <c r="H9" s="20" t="s">
        <v>28</v>
      </c>
      <c r="I9" s="20" t="s">
        <v>35</v>
      </c>
      <c r="J9" s="37">
        <v>1000</v>
      </c>
      <c r="L9" s="20"/>
      <c r="M9" s="20"/>
      <c r="N9" s="20"/>
      <c r="O9" s="37"/>
      <c r="Q9" s="20"/>
      <c r="R9" s="20"/>
      <c r="S9" s="20"/>
      <c r="T9" s="37"/>
      <c r="V9" s="127" t="s">
        <v>132</v>
      </c>
      <c r="W9" s="128"/>
      <c r="X9" s="124">
        <v>100000</v>
      </c>
      <c r="Z9" s="20">
        <v>1005</v>
      </c>
      <c r="AA9" s="166" t="s">
        <v>81</v>
      </c>
      <c r="AB9" s="69">
        <v>1</v>
      </c>
      <c r="AC9" s="79">
        <v>1800000</v>
      </c>
    </row>
    <row r="10" spans="2:29" ht="15">
      <c r="B10" s="20">
        <v>107</v>
      </c>
      <c r="C10" s="20"/>
      <c r="D10" s="20"/>
      <c r="E10" s="37"/>
      <c r="G10" s="20">
        <v>507</v>
      </c>
      <c r="H10" s="20"/>
      <c r="I10" s="20"/>
      <c r="J10" s="37"/>
      <c r="L10" s="20"/>
      <c r="M10" s="20"/>
      <c r="N10" s="20"/>
      <c r="O10" s="37"/>
      <c r="Q10" s="20"/>
      <c r="R10" s="20"/>
      <c r="S10" s="20"/>
      <c r="T10" s="37"/>
      <c r="V10" s="129" t="s">
        <v>133</v>
      </c>
      <c r="W10" s="128"/>
      <c r="X10" s="124"/>
      <c r="Z10" s="20">
        <v>1006</v>
      </c>
      <c r="AA10" s="166" t="s">
        <v>82</v>
      </c>
      <c r="AB10" s="69">
        <v>2</v>
      </c>
      <c r="AC10" s="79">
        <v>950000</v>
      </c>
    </row>
    <row r="11" spans="2:29" ht="15">
      <c r="B11" s="20">
        <v>108</v>
      </c>
      <c r="C11" s="20"/>
      <c r="D11" s="20"/>
      <c r="E11" s="37"/>
      <c r="G11" s="20">
        <v>508</v>
      </c>
      <c r="H11" s="20"/>
      <c r="I11" s="20"/>
      <c r="J11" s="37"/>
      <c r="L11" s="20"/>
      <c r="M11" s="20"/>
      <c r="N11" s="20"/>
      <c r="O11" s="37"/>
      <c r="Q11" s="20"/>
      <c r="R11" s="20"/>
      <c r="S11" s="20"/>
      <c r="T11" s="37"/>
      <c r="V11" s="127" t="s">
        <v>134</v>
      </c>
      <c r="W11" s="128"/>
      <c r="X11" s="124">
        <v>260000</v>
      </c>
      <c r="Z11" s="20">
        <v>1007</v>
      </c>
      <c r="AA11" s="166" t="s">
        <v>83</v>
      </c>
      <c r="AB11" s="69"/>
      <c r="AC11" s="79">
        <v>150000</v>
      </c>
    </row>
    <row r="12" spans="2:29" ht="15">
      <c r="B12" s="20">
        <v>109</v>
      </c>
      <c r="C12" s="20"/>
      <c r="D12" s="20"/>
      <c r="E12" s="37"/>
      <c r="G12" s="20">
        <v>509</v>
      </c>
      <c r="H12" s="20"/>
      <c r="I12" s="20"/>
      <c r="J12" s="37"/>
      <c r="L12" s="20"/>
      <c r="M12" s="20"/>
      <c r="N12" s="20"/>
      <c r="O12" s="37"/>
      <c r="Q12" s="20"/>
      <c r="R12" s="20"/>
      <c r="S12" s="20"/>
      <c r="T12" s="37"/>
      <c r="V12" s="127" t="s">
        <v>135</v>
      </c>
      <c r="W12" s="128"/>
      <c r="X12" s="124">
        <v>10000</v>
      </c>
      <c r="Z12" s="20">
        <v>1008</v>
      </c>
      <c r="AA12" s="166" t="s">
        <v>84</v>
      </c>
      <c r="AB12" s="69">
        <v>1</v>
      </c>
      <c r="AC12" s="79">
        <v>1200000</v>
      </c>
    </row>
    <row r="13" spans="2:29" ht="15">
      <c r="B13" s="20">
        <v>110</v>
      </c>
      <c r="C13" s="20"/>
      <c r="D13" s="20"/>
      <c r="E13" s="37"/>
      <c r="G13" s="20">
        <v>510</v>
      </c>
      <c r="H13" s="20"/>
      <c r="I13" s="20"/>
      <c r="J13" s="37"/>
      <c r="L13" s="20"/>
      <c r="M13" s="20"/>
      <c r="N13" s="20"/>
      <c r="O13" s="37"/>
      <c r="Q13" s="20"/>
      <c r="R13" s="20"/>
      <c r="S13" s="20"/>
      <c r="T13" s="37"/>
      <c r="V13" s="127" t="s">
        <v>136</v>
      </c>
      <c r="W13" s="128"/>
      <c r="X13" s="124">
        <v>100000</v>
      </c>
      <c r="Z13" s="20">
        <v>1009</v>
      </c>
      <c r="AA13" s="166" t="s">
        <v>85</v>
      </c>
      <c r="AB13" s="69">
        <v>10</v>
      </c>
      <c r="AC13" s="79">
        <v>20000</v>
      </c>
    </row>
    <row r="14" spans="2:29" ht="15">
      <c r="B14" s="20">
        <v>111</v>
      </c>
      <c r="C14" s="20"/>
      <c r="D14" s="20"/>
      <c r="E14" s="37"/>
      <c r="G14" s="20">
        <v>511</v>
      </c>
      <c r="H14" s="20"/>
      <c r="I14" s="20"/>
      <c r="J14" s="37"/>
      <c r="L14" s="20"/>
      <c r="M14" s="20"/>
      <c r="N14" s="20"/>
      <c r="O14" s="37"/>
      <c r="Q14" s="20"/>
      <c r="R14" s="20"/>
      <c r="S14" s="20"/>
      <c r="T14" s="37"/>
      <c r="V14" s="116" t="s">
        <v>137</v>
      </c>
      <c r="X14" s="130"/>
      <c r="Z14" s="20">
        <v>1010</v>
      </c>
      <c r="AA14" s="166"/>
      <c r="AB14" s="69"/>
      <c r="AC14" s="79"/>
    </row>
    <row r="15" spans="2:29" ht="15">
      <c r="B15" s="20">
        <v>112</v>
      </c>
      <c r="C15" s="20"/>
      <c r="D15" s="20"/>
      <c r="E15" s="37"/>
      <c r="G15" s="20">
        <v>512</v>
      </c>
      <c r="H15" s="20"/>
      <c r="I15" s="20"/>
      <c r="J15" s="37"/>
      <c r="L15" s="20"/>
      <c r="M15" s="20"/>
      <c r="N15" s="20"/>
      <c r="O15" s="37"/>
      <c r="Q15" s="20"/>
      <c r="R15" s="20"/>
      <c r="S15" s="20"/>
      <c r="T15" s="37"/>
      <c r="V15" s="125" t="s">
        <v>138</v>
      </c>
      <c r="W15" s="126"/>
      <c r="X15" s="124">
        <v>20000</v>
      </c>
      <c r="Z15" s="20">
        <v>1011</v>
      </c>
      <c r="AA15" s="166"/>
      <c r="AB15" s="69"/>
      <c r="AC15" s="79"/>
    </row>
    <row r="16" spans="2:29" ht="15">
      <c r="B16" s="20">
        <v>113</v>
      </c>
      <c r="C16" s="20"/>
      <c r="D16" s="20"/>
      <c r="E16" s="37"/>
      <c r="G16" s="20">
        <v>513</v>
      </c>
      <c r="H16" s="20"/>
      <c r="I16" s="20"/>
      <c r="J16" s="37"/>
      <c r="L16" s="20"/>
      <c r="M16" s="20"/>
      <c r="N16" s="20"/>
      <c r="O16" s="37"/>
      <c r="Q16" s="20"/>
      <c r="R16" s="20"/>
      <c r="S16" s="20"/>
      <c r="T16" s="37"/>
      <c r="V16" s="127" t="s">
        <v>139</v>
      </c>
      <c r="W16" s="128"/>
      <c r="X16" s="124">
        <v>10000</v>
      </c>
      <c r="Z16" s="20">
        <v>1012</v>
      </c>
      <c r="AA16" s="166"/>
      <c r="AB16" s="69"/>
      <c r="AC16" s="79"/>
    </row>
    <row r="17" spans="2:29" ht="15.75" thickBot="1">
      <c r="B17" s="20">
        <v>114</v>
      </c>
      <c r="C17" s="20"/>
      <c r="D17" s="20"/>
      <c r="E17" s="37"/>
      <c r="G17" s="20">
        <v>514</v>
      </c>
      <c r="H17" s="20"/>
      <c r="I17" s="20"/>
      <c r="J17" s="37"/>
      <c r="L17" s="20"/>
      <c r="M17" s="20"/>
      <c r="N17" s="20"/>
      <c r="O17" s="37"/>
      <c r="Q17" s="20"/>
      <c r="R17" s="20"/>
      <c r="S17" s="20"/>
      <c r="T17" s="37"/>
      <c r="V17" s="125"/>
      <c r="W17" s="126"/>
      <c r="X17" s="124"/>
      <c r="Z17" s="20">
        <v>1013</v>
      </c>
      <c r="AA17" s="166"/>
      <c r="AB17" s="69"/>
      <c r="AC17" s="79"/>
    </row>
    <row r="18" spans="2:29" ht="16.5" thickBot="1" thickTop="1">
      <c r="B18" s="20">
        <v>115</v>
      </c>
      <c r="C18" s="20"/>
      <c r="D18" s="20"/>
      <c r="E18" s="37"/>
      <c r="G18" s="20">
        <v>515</v>
      </c>
      <c r="H18" s="20"/>
      <c r="I18" s="20"/>
      <c r="J18" s="37"/>
      <c r="L18" s="20"/>
      <c r="M18" s="20"/>
      <c r="N18" s="20"/>
      <c r="O18" s="37"/>
      <c r="Q18" s="20"/>
      <c r="R18" s="20"/>
      <c r="S18" s="20"/>
      <c r="T18" s="37"/>
      <c r="V18" s="21"/>
      <c r="W18" s="126"/>
      <c r="X18" s="131"/>
      <c r="Z18" s="20">
        <v>1014</v>
      </c>
      <c r="AA18" s="166"/>
      <c r="AB18" s="69"/>
      <c r="AC18" s="79"/>
    </row>
    <row r="19" spans="2:29" ht="15.75" thickTop="1">
      <c r="B19" s="20">
        <v>116</v>
      </c>
      <c r="C19" s="20"/>
      <c r="D19" s="20"/>
      <c r="E19" s="37"/>
      <c r="G19" s="20">
        <v>516</v>
      </c>
      <c r="H19" s="20"/>
      <c r="I19" s="20"/>
      <c r="J19" s="37"/>
      <c r="L19" s="20"/>
      <c r="M19" s="20"/>
      <c r="N19" s="20"/>
      <c r="O19" s="37"/>
      <c r="Q19" s="20"/>
      <c r="R19" s="20"/>
      <c r="S19" s="20"/>
      <c r="T19" s="37"/>
      <c r="Z19" s="20">
        <v>1015</v>
      </c>
      <c r="AA19" s="166"/>
      <c r="AB19" s="69"/>
      <c r="AC19" s="79"/>
    </row>
    <row r="20" spans="2:29" ht="15.75">
      <c r="B20" s="20">
        <v>117</v>
      </c>
      <c r="C20" s="20"/>
      <c r="D20" s="20"/>
      <c r="E20" s="37"/>
      <c r="G20" s="20">
        <v>517</v>
      </c>
      <c r="H20" s="20"/>
      <c r="I20" s="20"/>
      <c r="J20" s="37"/>
      <c r="L20" s="20"/>
      <c r="M20" s="20"/>
      <c r="N20" s="20"/>
      <c r="O20" s="37"/>
      <c r="Q20" s="20"/>
      <c r="R20" s="20"/>
      <c r="S20" s="20"/>
      <c r="T20" s="37"/>
      <c r="V20" s="132" t="s">
        <v>141</v>
      </c>
      <c r="W20" s="133"/>
      <c r="Z20" s="20">
        <v>1016</v>
      </c>
      <c r="AA20" s="166"/>
      <c r="AB20" s="69"/>
      <c r="AC20" s="79"/>
    </row>
    <row r="21" spans="2:29" ht="15">
      <c r="B21" s="20">
        <v>118</v>
      </c>
      <c r="C21" s="20"/>
      <c r="D21" s="20"/>
      <c r="E21" s="37"/>
      <c r="G21" s="20">
        <v>518</v>
      </c>
      <c r="H21" s="20"/>
      <c r="I21" s="20"/>
      <c r="J21" s="37"/>
      <c r="L21" s="20"/>
      <c r="M21" s="20"/>
      <c r="N21" s="20"/>
      <c r="O21" s="37"/>
      <c r="Q21" s="20"/>
      <c r="R21" s="20"/>
      <c r="S21" s="20"/>
      <c r="T21" s="37"/>
      <c r="V21" s="116" t="s">
        <v>142</v>
      </c>
      <c r="Z21" s="20">
        <v>1017</v>
      </c>
      <c r="AA21" s="166"/>
      <c r="AB21" s="69"/>
      <c r="AC21" s="79"/>
    </row>
    <row r="22" spans="2:29" ht="15">
      <c r="B22" s="20">
        <v>119</v>
      </c>
      <c r="C22" s="20"/>
      <c r="D22" s="20"/>
      <c r="E22" s="37"/>
      <c r="G22" s="20">
        <v>519</v>
      </c>
      <c r="H22" s="20"/>
      <c r="I22" s="20"/>
      <c r="J22" s="37"/>
      <c r="L22" s="20"/>
      <c r="M22" s="20"/>
      <c r="N22" s="20"/>
      <c r="O22" s="37"/>
      <c r="Q22" s="20"/>
      <c r="R22" s="20"/>
      <c r="S22" s="20"/>
      <c r="T22" s="37"/>
      <c r="V22" s="20"/>
      <c r="W22" s="20"/>
      <c r="Z22" s="20">
        <v>1018</v>
      </c>
      <c r="AA22" s="166"/>
      <c r="AB22" s="69"/>
      <c r="AC22" s="79"/>
    </row>
    <row r="23" spans="2:29" ht="15">
      <c r="B23" s="20">
        <v>120</v>
      </c>
      <c r="C23" s="20"/>
      <c r="D23" s="20"/>
      <c r="E23" s="37"/>
      <c r="G23" s="20">
        <v>520</v>
      </c>
      <c r="H23" s="20"/>
      <c r="I23" s="20"/>
      <c r="J23" s="37"/>
      <c r="L23" s="20"/>
      <c r="M23" s="20"/>
      <c r="N23" s="20"/>
      <c r="O23" s="37"/>
      <c r="Q23" s="20"/>
      <c r="R23" s="20"/>
      <c r="S23" s="20"/>
      <c r="T23" s="37"/>
      <c r="V23" s="20"/>
      <c r="W23" s="20"/>
      <c r="X23" s="124"/>
      <c r="Z23" s="20">
        <v>1019</v>
      </c>
      <c r="AA23" s="167"/>
      <c r="AB23" s="70"/>
      <c r="AC23" s="80"/>
    </row>
    <row r="24" spans="1:29" ht="15">
      <c r="A24" s="46" t="s">
        <v>40</v>
      </c>
      <c r="B24" s="36">
        <v>201</v>
      </c>
      <c r="C24" s="25" t="s">
        <v>18</v>
      </c>
      <c r="D24" s="20"/>
      <c r="E24" s="37">
        <v>600</v>
      </c>
      <c r="G24" s="36">
        <v>601</v>
      </c>
      <c r="H24" s="25" t="s">
        <v>18</v>
      </c>
      <c r="I24" s="20"/>
      <c r="J24" s="37">
        <v>600</v>
      </c>
      <c r="L24" s="36"/>
      <c r="M24" s="25"/>
      <c r="N24" s="20"/>
      <c r="O24" s="37"/>
      <c r="Q24" s="36"/>
      <c r="R24" s="25"/>
      <c r="S24" s="20"/>
      <c r="T24" s="37"/>
      <c r="V24" s="125" t="s">
        <v>143</v>
      </c>
      <c r="W24" s="126"/>
      <c r="X24" s="124">
        <v>750000</v>
      </c>
      <c r="Z24" s="20">
        <v>1020</v>
      </c>
      <c r="AA24" s="167"/>
      <c r="AB24" s="70"/>
      <c r="AC24" s="80"/>
    </row>
    <row r="25" spans="2:29" ht="15">
      <c r="B25" s="36">
        <v>202</v>
      </c>
      <c r="C25" s="25" t="s">
        <v>42</v>
      </c>
      <c r="D25" s="20" t="s">
        <v>41</v>
      </c>
      <c r="E25" s="37">
        <v>60</v>
      </c>
      <c r="G25" s="36">
        <v>602</v>
      </c>
      <c r="H25" s="25" t="s">
        <v>42</v>
      </c>
      <c r="I25" s="20" t="s">
        <v>41</v>
      </c>
      <c r="J25" s="37">
        <v>60</v>
      </c>
      <c r="L25" s="36"/>
      <c r="M25" s="25"/>
      <c r="N25" s="20"/>
      <c r="O25" s="37"/>
      <c r="Q25" s="36"/>
      <c r="R25" s="25"/>
      <c r="S25" s="20"/>
      <c r="T25" s="37"/>
      <c r="V25" s="127" t="s">
        <v>99</v>
      </c>
      <c r="W25" s="126"/>
      <c r="X25" s="124">
        <v>10000</v>
      </c>
      <c r="Z25" s="20">
        <v>1021</v>
      </c>
      <c r="AA25" s="167"/>
      <c r="AB25" s="70"/>
      <c r="AC25" s="80"/>
    </row>
    <row r="26" spans="2:29" ht="15">
      <c r="B26" s="36">
        <v>203</v>
      </c>
      <c r="C26" s="25" t="s">
        <v>19</v>
      </c>
      <c r="D26" s="20"/>
      <c r="E26" s="37"/>
      <c r="G26" s="36">
        <v>603</v>
      </c>
      <c r="H26" s="25" t="s">
        <v>19</v>
      </c>
      <c r="I26" s="20"/>
      <c r="J26" s="37"/>
      <c r="L26" s="36"/>
      <c r="M26" s="25"/>
      <c r="N26" s="20"/>
      <c r="O26" s="37"/>
      <c r="Q26" s="36"/>
      <c r="R26" s="25"/>
      <c r="S26" s="20"/>
      <c r="T26" s="37"/>
      <c r="V26" s="127" t="s">
        <v>144</v>
      </c>
      <c r="W26" s="128"/>
      <c r="X26" s="124">
        <v>50000</v>
      </c>
      <c r="Z26" s="20">
        <v>1022</v>
      </c>
      <c r="AA26" s="167"/>
      <c r="AB26" s="70"/>
      <c r="AC26" s="80"/>
    </row>
    <row r="27" spans="2:29" ht="15">
      <c r="B27" s="36">
        <v>204</v>
      </c>
      <c r="C27" s="20"/>
      <c r="D27" s="20"/>
      <c r="E27" s="37"/>
      <c r="G27" s="36">
        <v>604</v>
      </c>
      <c r="H27" s="20"/>
      <c r="I27" s="20"/>
      <c r="J27" s="37"/>
      <c r="L27" s="36"/>
      <c r="M27" s="20"/>
      <c r="N27" s="20"/>
      <c r="O27" s="37"/>
      <c r="Q27" s="36"/>
      <c r="R27" s="20"/>
      <c r="S27" s="20"/>
      <c r="T27" s="37"/>
      <c r="V27" s="127" t="s">
        <v>145</v>
      </c>
      <c r="W27" s="128"/>
      <c r="X27" s="124"/>
      <c r="Z27" s="20">
        <v>1023</v>
      </c>
      <c r="AA27" s="167"/>
      <c r="AB27" s="70"/>
      <c r="AC27" s="80"/>
    </row>
    <row r="28" spans="2:29" ht="15">
      <c r="B28" s="36">
        <v>205</v>
      </c>
      <c r="C28" s="20"/>
      <c r="D28" s="20"/>
      <c r="E28" s="37"/>
      <c r="G28" s="36">
        <v>605</v>
      </c>
      <c r="H28" s="20"/>
      <c r="I28" s="20"/>
      <c r="J28" s="37"/>
      <c r="L28" s="36"/>
      <c r="M28" s="20"/>
      <c r="N28" s="20"/>
      <c r="O28" s="37"/>
      <c r="Q28" s="36"/>
      <c r="R28" s="20"/>
      <c r="S28" s="20"/>
      <c r="T28" s="37"/>
      <c r="V28" s="127" t="s">
        <v>146</v>
      </c>
      <c r="W28" s="128"/>
      <c r="X28" s="124"/>
      <c r="Z28" s="20">
        <v>1024</v>
      </c>
      <c r="AA28" s="167"/>
      <c r="AB28" s="70"/>
      <c r="AC28" s="80"/>
    </row>
    <row r="29" spans="2:29" ht="15">
      <c r="B29" s="36">
        <v>206</v>
      </c>
      <c r="C29" s="20"/>
      <c r="D29" s="20"/>
      <c r="E29" s="37"/>
      <c r="G29" s="36">
        <v>606</v>
      </c>
      <c r="H29" s="20"/>
      <c r="I29" s="20"/>
      <c r="J29" s="37"/>
      <c r="L29" s="36"/>
      <c r="M29" s="20"/>
      <c r="N29" s="20"/>
      <c r="O29" s="37"/>
      <c r="Q29" s="36"/>
      <c r="R29" s="20"/>
      <c r="S29" s="20"/>
      <c r="T29" s="37"/>
      <c r="V29" s="129" t="s">
        <v>147</v>
      </c>
      <c r="W29" s="128"/>
      <c r="X29" s="124"/>
      <c r="Z29" s="20">
        <v>1025</v>
      </c>
      <c r="AA29" s="167"/>
      <c r="AB29" s="70"/>
      <c r="AC29" s="80"/>
    </row>
    <row r="30" spans="2:29" ht="15.75" thickBot="1">
      <c r="B30" s="36">
        <v>207</v>
      </c>
      <c r="C30" s="20"/>
      <c r="D30" s="20"/>
      <c r="E30" s="37"/>
      <c r="G30" s="36">
        <v>607</v>
      </c>
      <c r="H30" s="20"/>
      <c r="I30" s="20"/>
      <c r="J30" s="37"/>
      <c r="L30" s="36"/>
      <c r="M30" s="20"/>
      <c r="N30" s="20"/>
      <c r="O30" s="37"/>
      <c r="Q30" s="36"/>
      <c r="R30" s="20"/>
      <c r="S30" s="20"/>
      <c r="T30" s="37"/>
      <c r="V30" s="129" t="s">
        <v>148</v>
      </c>
      <c r="W30" s="128"/>
      <c r="X30" s="124"/>
      <c r="Z30" s="20">
        <v>1026</v>
      </c>
      <c r="AA30" s="167"/>
      <c r="AB30" s="71"/>
      <c r="AC30" s="81"/>
    </row>
    <row r="31" spans="2:24" ht="15">
      <c r="B31" s="36">
        <v>208</v>
      </c>
      <c r="C31" s="20"/>
      <c r="D31" s="20"/>
      <c r="E31" s="37"/>
      <c r="G31" s="36">
        <v>608</v>
      </c>
      <c r="H31" s="20"/>
      <c r="I31" s="20"/>
      <c r="J31" s="37"/>
      <c r="L31" s="36"/>
      <c r="M31" s="20"/>
      <c r="N31" s="20"/>
      <c r="O31" s="37"/>
      <c r="Q31" s="36"/>
      <c r="R31" s="20"/>
      <c r="S31" s="20"/>
      <c r="T31" s="37"/>
      <c r="V31" s="127" t="s">
        <v>149</v>
      </c>
      <c r="W31" s="128"/>
      <c r="X31" s="124"/>
    </row>
    <row r="32" spans="2:24" ht="15">
      <c r="B32" s="36">
        <v>209</v>
      </c>
      <c r="C32" s="20"/>
      <c r="D32" s="20"/>
      <c r="E32" s="37"/>
      <c r="G32" s="36">
        <v>609</v>
      </c>
      <c r="H32" s="20"/>
      <c r="I32" s="20"/>
      <c r="J32" s="37"/>
      <c r="L32" s="36"/>
      <c r="M32" s="20"/>
      <c r="N32" s="20"/>
      <c r="O32" s="37"/>
      <c r="Q32" s="36"/>
      <c r="R32" s="20"/>
      <c r="S32" s="20"/>
      <c r="T32" s="37"/>
      <c r="V32" s="127" t="s">
        <v>150</v>
      </c>
      <c r="W32" s="128"/>
      <c r="X32" s="124"/>
    </row>
    <row r="33" spans="2:24" ht="15">
      <c r="B33" s="36">
        <v>210</v>
      </c>
      <c r="C33" s="20"/>
      <c r="D33" s="20"/>
      <c r="E33" s="37"/>
      <c r="G33" s="36">
        <v>610</v>
      </c>
      <c r="H33" s="20"/>
      <c r="I33" s="20"/>
      <c r="J33" s="37"/>
      <c r="L33" s="36"/>
      <c r="M33" s="20"/>
      <c r="N33" s="20"/>
      <c r="O33" s="37"/>
      <c r="Q33" s="36"/>
      <c r="R33" s="20"/>
      <c r="S33" s="20"/>
      <c r="T33" s="37"/>
      <c r="V33" s="129" t="s">
        <v>151</v>
      </c>
      <c r="W33" s="128"/>
      <c r="X33" s="124"/>
    </row>
    <row r="34" spans="2:24" ht="15">
      <c r="B34" s="36"/>
      <c r="C34" s="20"/>
      <c r="D34" s="20"/>
      <c r="E34" s="37"/>
      <c r="G34" s="36"/>
      <c r="H34" s="20"/>
      <c r="I34" s="20"/>
      <c r="J34" s="37"/>
      <c r="L34" s="36"/>
      <c r="M34" s="20"/>
      <c r="N34" s="20"/>
      <c r="O34" s="37"/>
      <c r="Q34" s="36"/>
      <c r="R34" s="20"/>
      <c r="S34" s="20"/>
      <c r="T34" s="37"/>
      <c r="V34" s="127" t="s">
        <v>152</v>
      </c>
      <c r="W34" s="128"/>
      <c r="X34" s="124"/>
    </row>
    <row r="35" spans="22:24" ht="15">
      <c r="V35" s="127" t="s">
        <v>153</v>
      </c>
      <c r="W35" s="128"/>
      <c r="X35" s="124">
        <v>30000</v>
      </c>
    </row>
    <row r="36" spans="22:24" ht="15">
      <c r="V36" s="134" t="s">
        <v>154</v>
      </c>
      <c r="W36" s="126"/>
      <c r="X36" s="124">
        <v>90000</v>
      </c>
    </row>
    <row r="37" spans="22:24" ht="15">
      <c r="V37" s="127" t="s">
        <v>155</v>
      </c>
      <c r="W37" s="128"/>
      <c r="X37" s="124">
        <v>30000</v>
      </c>
    </row>
    <row r="38" spans="22:24" ht="15">
      <c r="V38" s="127" t="s">
        <v>156</v>
      </c>
      <c r="W38" s="128"/>
      <c r="X38" s="124"/>
    </row>
    <row r="39" spans="22:24" ht="15">
      <c r="V39" s="127" t="s">
        <v>157</v>
      </c>
      <c r="W39" s="135"/>
      <c r="X39" s="136"/>
    </row>
    <row r="40" spans="22:24" ht="15">
      <c r="V40" s="137" t="s">
        <v>158</v>
      </c>
      <c r="W40" s="135"/>
      <c r="X40" s="136"/>
    </row>
    <row r="41" spans="22:24" ht="15">
      <c r="V41" s="137" t="s">
        <v>159</v>
      </c>
      <c r="W41" s="135"/>
      <c r="X41" s="136"/>
    </row>
  </sheetData>
  <sheetProtection/>
  <mergeCells count="4">
    <mergeCell ref="L1:O1"/>
    <mergeCell ref="Q1:T1"/>
    <mergeCell ref="B1:E1"/>
    <mergeCell ref="G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1">
      <selection activeCell="AA34" sqref="AA34"/>
    </sheetView>
  </sheetViews>
  <sheetFormatPr defaultColWidth="11.421875" defaultRowHeight="15"/>
  <cols>
    <col min="2" max="2" width="27.00390625" style="0" customWidth="1"/>
    <col min="3" max="3" width="14.8515625" style="0" customWidth="1"/>
    <col min="4" max="4" width="13.7109375" style="0" customWidth="1"/>
    <col min="5" max="5" width="16.57421875" style="0" customWidth="1"/>
    <col min="6" max="6" width="14.00390625" style="0" customWidth="1"/>
    <col min="7" max="7" width="3.8515625" style="0" customWidth="1"/>
    <col min="9" max="9" width="26.00390625" style="0" bestFit="1" customWidth="1"/>
    <col min="12" max="12" width="17.28125" style="0" customWidth="1"/>
    <col min="13" max="13" width="13.140625" style="0" customWidth="1"/>
    <col min="14" max="14" width="5.00390625" style="0" customWidth="1"/>
    <col min="16" max="16" width="19.57421875" style="0" customWidth="1"/>
    <col min="19" max="19" width="16.8515625" style="0" customWidth="1"/>
    <col min="21" max="21" width="5.140625" style="0" customWidth="1"/>
    <col min="23" max="23" width="22.28125" style="0" customWidth="1"/>
    <col min="26" max="26" width="16.7109375" style="0" customWidth="1"/>
  </cols>
  <sheetData>
    <row r="1" ht="15">
      <c r="B1" t="s">
        <v>43</v>
      </c>
    </row>
    <row r="3" spans="2:27" ht="15">
      <c r="B3" s="1" t="s">
        <v>0</v>
      </c>
      <c r="C3" s="176" t="str">
        <f>+'Datos Iniciales'!C2:E2</f>
        <v>Balon de Futbol</v>
      </c>
      <c r="D3" s="176"/>
      <c r="E3" s="2" t="s">
        <v>1</v>
      </c>
      <c r="F3" s="3">
        <v>10</v>
      </c>
      <c r="I3" s="1" t="s">
        <v>0</v>
      </c>
      <c r="J3" s="176" t="str">
        <f>+'Datos Iniciales'!H2</f>
        <v>Balon micro Futbol</v>
      </c>
      <c r="K3" s="176"/>
      <c r="L3" s="2" t="s">
        <v>1</v>
      </c>
      <c r="M3" s="3">
        <v>10</v>
      </c>
      <c r="P3" s="1" t="s">
        <v>0</v>
      </c>
      <c r="Q3" s="176" t="str">
        <f>+'Datos Iniciales'!M2</f>
        <v>Balon Profesional</v>
      </c>
      <c r="R3" s="176"/>
      <c r="S3" s="2" t="s">
        <v>1</v>
      </c>
      <c r="T3" s="3">
        <v>10</v>
      </c>
      <c r="W3" s="1" t="s">
        <v>0</v>
      </c>
      <c r="X3" s="176" t="str">
        <f>+'Datos Iniciales'!R2</f>
        <v>Balon micro profesional</v>
      </c>
      <c r="Y3" s="176"/>
      <c r="Z3" s="2" t="s">
        <v>1</v>
      </c>
      <c r="AA3" s="3">
        <v>10</v>
      </c>
    </row>
    <row r="4" spans="2:27" ht="15">
      <c r="B4" s="4" t="s">
        <v>2</v>
      </c>
      <c r="C4" s="32">
        <f>+'Datos Iniciales'!E2</f>
        <v>4700</v>
      </c>
      <c r="D4" s="6" t="s">
        <v>3</v>
      </c>
      <c r="E4" s="7"/>
      <c r="F4" s="33">
        <v>1100</v>
      </c>
      <c r="I4" s="4" t="s">
        <v>2</v>
      </c>
      <c r="J4" s="32">
        <f>+'Datos Iniciales'!J2</f>
        <v>3700</v>
      </c>
      <c r="K4" s="6" t="s">
        <v>3</v>
      </c>
      <c r="L4" s="7"/>
      <c r="M4" s="33">
        <v>1550</v>
      </c>
      <c r="P4" s="4" t="s">
        <v>2</v>
      </c>
      <c r="Q4" s="32">
        <f>+'Datos Iniciales'!O2</f>
        <v>10000</v>
      </c>
      <c r="R4" s="6" t="s">
        <v>3</v>
      </c>
      <c r="S4" s="7"/>
      <c r="T4" s="33">
        <v>150</v>
      </c>
      <c r="W4" s="4" t="s">
        <v>2</v>
      </c>
      <c r="X4" s="32">
        <f>+'Datos Iniciales'!T2</f>
        <v>8000</v>
      </c>
      <c r="Y4" s="6" t="s">
        <v>3</v>
      </c>
      <c r="Z4" s="7"/>
      <c r="AA4" s="33">
        <v>90</v>
      </c>
    </row>
    <row r="5" spans="2:27" ht="15">
      <c r="B5" s="9"/>
      <c r="C5" s="5"/>
      <c r="D5" s="5"/>
      <c r="E5" s="5"/>
      <c r="F5" s="8"/>
      <c r="I5" s="9"/>
      <c r="J5" s="5"/>
      <c r="K5" s="5"/>
      <c r="L5" s="5"/>
      <c r="M5" s="8"/>
      <c r="P5" s="9"/>
      <c r="Q5" s="5"/>
      <c r="R5" s="5"/>
      <c r="S5" s="5"/>
      <c r="T5" s="8"/>
      <c r="W5" s="9"/>
      <c r="X5" s="5"/>
      <c r="Y5" s="5"/>
      <c r="Z5" s="5"/>
      <c r="AA5" s="8"/>
    </row>
    <row r="6" spans="1:27" ht="15">
      <c r="A6" s="10"/>
      <c r="B6" s="10"/>
      <c r="C6" s="11" t="s">
        <v>4</v>
      </c>
      <c r="D6" s="12" t="s">
        <v>5</v>
      </c>
      <c r="E6" s="13" t="s">
        <v>6</v>
      </c>
      <c r="F6" s="13" t="s">
        <v>7</v>
      </c>
      <c r="H6" s="10"/>
      <c r="I6" s="10"/>
      <c r="J6" s="11" t="s">
        <v>4</v>
      </c>
      <c r="K6" s="12" t="s">
        <v>5</v>
      </c>
      <c r="L6" s="13" t="s">
        <v>6</v>
      </c>
      <c r="M6" s="13" t="s">
        <v>7</v>
      </c>
      <c r="O6" s="10"/>
      <c r="P6" s="10"/>
      <c r="Q6" s="11" t="s">
        <v>4</v>
      </c>
      <c r="R6" s="12" t="s">
        <v>5</v>
      </c>
      <c r="S6" s="13" t="s">
        <v>6</v>
      </c>
      <c r="T6" s="13" t="s">
        <v>7</v>
      </c>
      <c r="V6" s="10"/>
      <c r="W6" s="10"/>
      <c r="X6" s="11" t="s">
        <v>4</v>
      </c>
      <c r="Y6" s="12" t="s">
        <v>5</v>
      </c>
      <c r="Z6" s="13" t="s">
        <v>6</v>
      </c>
      <c r="AA6" s="13" t="s">
        <v>7</v>
      </c>
    </row>
    <row r="7" spans="1:27" ht="15">
      <c r="A7" s="41"/>
      <c r="B7" s="14" t="s">
        <v>8</v>
      </c>
      <c r="C7" s="14" t="s">
        <v>9</v>
      </c>
      <c r="D7" s="15" t="s">
        <v>10</v>
      </c>
      <c r="E7" s="16" t="s">
        <v>11</v>
      </c>
      <c r="F7" s="16" t="s">
        <v>12</v>
      </c>
      <c r="H7" s="41"/>
      <c r="I7" s="14" t="s">
        <v>8</v>
      </c>
      <c r="J7" s="14" t="s">
        <v>9</v>
      </c>
      <c r="K7" s="15" t="s">
        <v>10</v>
      </c>
      <c r="L7" s="16" t="s">
        <v>11</v>
      </c>
      <c r="M7" s="16" t="s">
        <v>12</v>
      </c>
      <c r="O7" s="41"/>
      <c r="P7" s="14" t="s">
        <v>8</v>
      </c>
      <c r="Q7" s="14" t="s">
        <v>9</v>
      </c>
      <c r="R7" s="15" t="s">
        <v>10</v>
      </c>
      <c r="S7" s="16" t="s">
        <v>11</v>
      </c>
      <c r="T7" s="16" t="s">
        <v>12</v>
      </c>
      <c r="V7" s="41"/>
      <c r="W7" s="14" t="s">
        <v>8</v>
      </c>
      <c r="X7" s="14" t="s">
        <v>9</v>
      </c>
      <c r="Y7" s="15" t="s">
        <v>10</v>
      </c>
      <c r="Z7" s="16" t="s">
        <v>11</v>
      </c>
      <c r="AA7" s="16" t="s">
        <v>12</v>
      </c>
    </row>
    <row r="8" spans="1:27" ht="15">
      <c r="A8" s="34" t="s">
        <v>36</v>
      </c>
      <c r="B8" s="17"/>
      <c r="C8" s="18" t="s">
        <v>13</v>
      </c>
      <c r="D8" s="19" t="s">
        <v>14</v>
      </c>
      <c r="E8" s="19" t="s">
        <v>15</v>
      </c>
      <c r="F8" s="19" t="s">
        <v>16</v>
      </c>
      <c r="H8" s="34" t="s">
        <v>36</v>
      </c>
      <c r="I8" s="17"/>
      <c r="J8" s="18" t="s">
        <v>13</v>
      </c>
      <c r="K8" s="19" t="s">
        <v>14</v>
      </c>
      <c r="L8" s="19" t="s">
        <v>15</v>
      </c>
      <c r="M8" s="19" t="s">
        <v>16</v>
      </c>
      <c r="O8" s="34" t="s">
        <v>36</v>
      </c>
      <c r="P8" s="17"/>
      <c r="Q8" s="18" t="s">
        <v>13</v>
      </c>
      <c r="R8" s="19" t="s">
        <v>14</v>
      </c>
      <c r="S8" s="19" t="s">
        <v>15</v>
      </c>
      <c r="T8" s="19" t="s">
        <v>16</v>
      </c>
      <c r="V8" s="34" t="s">
        <v>36</v>
      </c>
      <c r="W8" s="17"/>
      <c r="X8" s="18" t="s">
        <v>13</v>
      </c>
      <c r="Y8" s="19" t="s">
        <v>14</v>
      </c>
      <c r="Z8" s="19" t="s">
        <v>15</v>
      </c>
      <c r="AA8" s="19" t="s">
        <v>16</v>
      </c>
    </row>
    <row r="9" spans="1:13" ht="15">
      <c r="A9" s="20">
        <v>101</v>
      </c>
      <c r="B9" s="20" t="str">
        <f aca="true" t="shared" si="0" ref="B9:B22">IF(ISERROR(VLOOKUP($A9,costosv,2,0))=TRUE,"",VLOOKUP($A9,costosv,2,0))</f>
        <v>válvula de neumático</v>
      </c>
      <c r="C9" s="20" t="str">
        <f aca="true" t="shared" si="1" ref="C9:C22">IF(ISERROR(VLOOKUP($A9,costosv,3,0))=TRUE,"",VLOOKUP($A9,costosv,3,0))</f>
        <v>unidad     </v>
      </c>
      <c r="D9" s="20">
        <f aca="true" t="shared" si="2" ref="D9:D22">IF(ISERROR(VLOOKUP($A9,costosv,4,0))=TRUE,"",VLOOKUP($A9,costosv,4,0))</f>
        <v>1200</v>
      </c>
      <c r="E9" s="37">
        <v>10</v>
      </c>
      <c r="F9" s="37">
        <f>IF(ISERROR(D9*E9)=TRUE,"",D9*E9)</f>
        <v>12000</v>
      </c>
      <c r="H9" s="20">
        <v>501</v>
      </c>
      <c r="I9" s="20" t="str">
        <f aca="true" t="shared" si="3" ref="I9:I22">IF(ISERROR(VLOOKUP($H9,costosv2,2,0))=TRUE,"",VLOOKUP($H9,costosv2,2,0))</f>
        <v>válvula de neumático</v>
      </c>
      <c r="J9" s="20" t="str">
        <f aca="true" t="shared" si="4" ref="J9:J22">IF(ISERROR(VLOOKUP($H9,costosv2,3,0))=TRUE,"",VLOOKUP($H9,costosv2,3,0))</f>
        <v>unidad     </v>
      </c>
      <c r="K9" s="20">
        <f aca="true" t="shared" si="5" ref="K9:K22">IF(ISERROR(VLOOKUP($H9,costosv2,4,0))=TRUE,"",VLOOKUP($H9,costosv2,4,0))</f>
        <v>1200</v>
      </c>
      <c r="L9" s="37">
        <v>10</v>
      </c>
      <c r="M9" s="37">
        <f>IF(ISERROR(K9*L9)=TRUE,"",K9*L9)</f>
        <v>12000</v>
      </c>
    </row>
    <row r="10" spans="1:13" ht="15">
      <c r="A10" s="20">
        <v>102</v>
      </c>
      <c r="B10" s="20" t="str">
        <f t="shared" si="0"/>
        <v>hilaza</v>
      </c>
      <c r="C10" s="20" t="str">
        <f t="shared" si="1"/>
        <v>gramos</v>
      </c>
      <c r="D10" s="20">
        <f t="shared" si="2"/>
        <v>8</v>
      </c>
      <c r="E10" s="37">
        <v>100</v>
      </c>
      <c r="F10" s="37">
        <f aca="true" t="shared" si="6" ref="F10:F22">IF(ISERROR(D10*E10)=TRUE,"",D10*E10)</f>
        <v>800</v>
      </c>
      <c r="H10" s="20">
        <v>502</v>
      </c>
      <c r="I10" s="20" t="str">
        <f t="shared" si="3"/>
        <v>hilaza</v>
      </c>
      <c r="J10" s="20" t="str">
        <f t="shared" si="4"/>
        <v>gramos</v>
      </c>
      <c r="K10" s="20">
        <f t="shared" si="5"/>
        <v>8</v>
      </c>
      <c r="L10" s="37">
        <v>80</v>
      </c>
      <c r="M10" s="37">
        <f aca="true" t="shared" si="7" ref="M10:M22">IF(ISERROR(K10*L10)=TRUE,"",K10*L10)</f>
        <v>640</v>
      </c>
    </row>
    <row r="11" spans="1:13" ht="15">
      <c r="A11" s="20">
        <v>103</v>
      </c>
      <c r="B11" s="20" t="str">
        <f t="shared" si="0"/>
        <v>cordoban blanco</v>
      </c>
      <c r="C11" s="20" t="str">
        <f t="shared" si="1"/>
        <v>metro</v>
      </c>
      <c r="D11" s="20">
        <f t="shared" si="2"/>
        <v>5500</v>
      </c>
      <c r="E11" s="37">
        <v>1</v>
      </c>
      <c r="F11" s="37">
        <f t="shared" si="6"/>
        <v>5500</v>
      </c>
      <c r="H11" s="20">
        <v>503</v>
      </c>
      <c r="I11" s="20" t="str">
        <f t="shared" si="3"/>
        <v>cordoban blanco</v>
      </c>
      <c r="J11" s="20" t="str">
        <f t="shared" si="4"/>
        <v>metro</v>
      </c>
      <c r="K11" s="20">
        <f t="shared" si="5"/>
        <v>5500</v>
      </c>
      <c r="L11" s="48">
        <v>0.7</v>
      </c>
      <c r="M11" s="37">
        <f t="shared" si="7"/>
        <v>3849.9999999999995</v>
      </c>
    </row>
    <row r="12" spans="1:13" ht="15">
      <c r="A12" s="20">
        <v>104</v>
      </c>
      <c r="B12" s="20" t="str">
        <f t="shared" si="0"/>
        <v>cordoban negro</v>
      </c>
      <c r="C12" s="20" t="str">
        <f t="shared" si="1"/>
        <v>metro</v>
      </c>
      <c r="D12" s="20">
        <f t="shared" si="2"/>
        <v>5500</v>
      </c>
      <c r="E12" s="37">
        <v>0.5</v>
      </c>
      <c r="F12" s="37">
        <f t="shared" si="6"/>
        <v>2750</v>
      </c>
      <c r="H12" s="20">
        <v>504</v>
      </c>
      <c r="I12" s="20" t="str">
        <f t="shared" si="3"/>
        <v>cordoban negro</v>
      </c>
      <c r="J12" s="20" t="str">
        <f t="shared" si="4"/>
        <v>metro</v>
      </c>
      <c r="K12" s="20">
        <f t="shared" si="5"/>
        <v>5500</v>
      </c>
      <c r="L12" s="48">
        <v>0.4</v>
      </c>
      <c r="M12" s="37">
        <f t="shared" si="7"/>
        <v>2200</v>
      </c>
    </row>
    <row r="13" spans="1:13" ht="15">
      <c r="A13" s="20">
        <v>105</v>
      </c>
      <c r="B13" s="20" t="str">
        <f t="shared" si="0"/>
        <v>Látex</v>
      </c>
      <c r="C13" s="20" t="str">
        <f t="shared" si="1"/>
        <v>kilogramos</v>
      </c>
      <c r="D13" s="20">
        <f t="shared" si="2"/>
        <v>3750</v>
      </c>
      <c r="E13" s="37">
        <v>1</v>
      </c>
      <c r="F13" s="37">
        <f t="shared" si="6"/>
        <v>3750</v>
      </c>
      <c r="H13" s="20">
        <v>505</v>
      </c>
      <c r="I13" s="20" t="str">
        <f t="shared" si="3"/>
        <v>Látex</v>
      </c>
      <c r="J13" s="20" t="str">
        <f t="shared" si="4"/>
        <v>kilogramos</v>
      </c>
      <c r="K13" s="20">
        <f t="shared" si="5"/>
        <v>3750</v>
      </c>
      <c r="L13" s="48">
        <v>0.8</v>
      </c>
      <c r="M13" s="37">
        <f t="shared" si="7"/>
        <v>3000</v>
      </c>
    </row>
    <row r="14" spans="1:13" ht="15">
      <c r="A14" s="20">
        <v>106</v>
      </c>
      <c r="B14" s="20" t="str">
        <f t="shared" si="0"/>
        <v>pegante</v>
      </c>
      <c r="C14" s="20" t="str">
        <f t="shared" si="1"/>
        <v>caneca</v>
      </c>
      <c r="D14" s="20">
        <f t="shared" si="2"/>
        <v>1000</v>
      </c>
      <c r="E14" s="37">
        <v>1</v>
      </c>
      <c r="F14" s="37">
        <f t="shared" si="6"/>
        <v>1000</v>
      </c>
      <c r="H14" s="20">
        <v>506</v>
      </c>
      <c r="I14" s="20" t="str">
        <f t="shared" si="3"/>
        <v>pegante</v>
      </c>
      <c r="J14" s="20" t="str">
        <f t="shared" si="4"/>
        <v>caneca</v>
      </c>
      <c r="K14" s="20">
        <f t="shared" si="5"/>
        <v>1000</v>
      </c>
      <c r="L14" s="48">
        <v>0.75</v>
      </c>
      <c r="M14" s="37">
        <f t="shared" si="7"/>
        <v>750</v>
      </c>
    </row>
    <row r="15" spans="1:13" ht="15">
      <c r="A15" s="20"/>
      <c r="B15" s="20">
        <f t="shared" si="0"/>
      </c>
      <c r="C15" s="20">
        <f t="shared" si="1"/>
      </c>
      <c r="D15" s="20">
        <f t="shared" si="2"/>
      </c>
      <c r="E15" s="37"/>
      <c r="F15" s="37">
        <f t="shared" si="6"/>
      </c>
      <c r="H15" s="20"/>
      <c r="I15" s="20">
        <f t="shared" si="3"/>
      </c>
      <c r="J15" s="20">
        <f t="shared" si="4"/>
      </c>
      <c r="K15" s="20">
        <f t="shared" si="5"/>
      </c>
      <c r="L15" s="37"/>
      <c r="M15" s="37">
        <f t="shared" si="7"/>
      </c>
    </row>
    <row r="16" spans="1:13" ht="15">
      <c r="A16" s="20"/>
      <c r="B16" s="20">
        <f t="shared" si="0"/>
      </c>
      <c r="C16" s="20">
        <f t="shared" si="1"/>
      </c>
      <c r="D16" s="20">
        <f t="shared" si="2"/>
      </c>
      <c r="E16" s="37"/>
      <c r="F16" s="37">
        <f t="shared" si="6"/>
      </c>
      <c r="H16" s="20"/>
      <c r="I16" s="20">
        <f t="shared" si="3"/>
      </c>
      <c r="J16" s="20">
        <f t="shared" si="4"/>
      </c>
      <c r="K16" s="20">
        <f t="shared" si="5"/>
      </c>
      <c r="L16" s="37"/>
      <c r="M16" s="37">
        <f t="shared" si="7"/>
      </c>
    </row>
    <row r="17" spans="1:13" ht="15">
      <c r="A17" s="20"/>
      <c r="B17" s="20">
        <f t="shared" si="0"/>
      </c>
      <c r="C17" s="20">
        <f t="shared" si="1"/>
      </c>
      <c r="D17" s="20">
        <f t="shared" si="2"/>
      </c>
      <c r="E17" s="37"/>
      <c r="F17" s="37">
        <f t="shared" si="6"/>
      </c>
      <c r="H17" s="20"/>
      <c r="I17" s="20">
        <f t="shared" si="3"/>
      </c>
      <c r="J17" s="20">
        <f t="shared" si="4"/>
      </c>
      <c r="K17" s="20">
        <f t="shared" si="5"/>
      </c>
      <c r="L17" s="37"/>
      <c r="M17" s="37">
        <f t="shared" si="7"/>
      </c>
    </row>
    <row r="18" spans="1:13" ht="15">
      <c r="A18" s="20"/>
      <c r="B18" s="20">
        <f t="shared" si="0"/>
      </c>
      <c r="C18" s="20">
        <f t="shared" si="1"/>
      </c>
      <c r="D18" s="20">
        <f t="shared" si="2"/>
      </c>
      <c r="E18" s="37"/>
      <c r="F18" s="37">
        <f t="shared" si="6"/>
      </c>
      <c r="H18" s="20"/>
      <c r="I18" s="20">
        <f t="shared" si="3"/>
      </c>
      <c r="J18" s="20">
        <f t="shared" si="4"/>
      </c>
      <c r="K18" s="20">
        <f t="shared" si="5"/>
      </c>
      <c r="L18" s="37"/>
      <c r="M18" s="37">
        <f t="shared" si="7"/>
      </c>
    </row>
    <row r="19" spans="1:13" ht="15">
      <c r="A19" s="20"/>
      <c r="B19" s="20">
        <f t="shared" si="0"/>
      </c>
      <c r="C19" s="20">
        <f t="shared" si="1"/>
      </c>
      <c r="D19" s="20">
        <f t="shared" si="2"/>
      </c>
      <c r="E19" s="37"/>
      <c r="F19" s="37">
        <f t="shared" si="6"/>
      </c>
      <c r="H19" s="20"/>
      <c r="I19" s="20">
        <f t="shared" si="3"/>
      </c>
      <c r="J19" s="20">
        <f t="shared" si="4"/>
      </c>
      <c r="K19" s="20">
        <f t="shared" si="5"/>
      </c>
      <c r="L19" s="37"/>
      <c r="M19" s="37">
        <f t="shared" si="7"/>
      </c>
    </row>
    <row r="20" spans="1:13" ht="15">
      <c r="A20" s="20"/>
      <c r="B20" s="20">
        <f t="shared" si="0"/>
      </c>
      <c r="C20" s="20">
        <f t="shared" si="1"/>
      </c>
      <c r="D20" s="20">
        <f t="shared" si="2"/>
      </c>
      <c r="E20" s="37"/>
      <c r="F20" s="37">
        <f t="shared" si="6"/>
      </c>
      <c r="H20" s="20"/>
      <c r="I20" s="20">
        <f t="shared" si="3"/>
      </c>
      <c r="J20" s="20">
        <f t="shared" si="4"/>
      </c>
      <c r="K20" s="20">
        <f t="shared" si="5"/>
      </c>
      <c r="L20" s="37"/>
      <c r="M20" s="37">
        <f t="shared" si="7"/>
      </c>
    </row>
    <row r="21" spans="1:13" ht="15">
      <c r="A21" s="20"/>
      <c r="B21" s="20">
        <f t="shared" si="0"/>
      </c>
      <c r="C21" s="20">
        <f t="shared" si="1"/>
      </c>
      <c r="D21" s="20">
        <f t="shared" si="2"/>
      </c>
      <c r="E21" s="37"/>
      <c r="F21" s="37">
        <f t="shared" si="6"/>
      </c>
      <c r="H21" s="20"/>
      <c r="I21" s="20">
        <f t="shared" si="3"/>
      </c>
      <c r="J21" s="20">
        <f t="shared" si="4"/>
      </c>
      <c r="K21" s="20">
        <f t="shared" si="5"/>
      </c>
      <c r="L21" s="37"/>
      <c r="M21" s="37">
        <f t="shared" si="7"/>
      </c>
    </row>
    <row r="22" spans="1:13" ht="15">
      <c r="A22" s="20"/>
      <c r="B22" s="20">
        <f t="shared" si="0"/>
      </c>
      <c r="C22" s="20">
        <f t="shared" si="1"/>
      </c>
      <c r="D22" s="20">
        <f t="shared" si="2"/>
      </c>
      <c r="E22" s="37"/>
      <c r="F22" s="37">
        <f t="shared" si="6"/>
      </c>
      <c r="H22" s="20"/>
      <c r="I22" s="20">
        <f t="shared" si="3"/>
      </c>
      <c r="J22" s="20">
        <f t="shared" si="4"/>
      </c>
      <c r="K22" s="20">
        <f t="shared" si="5"/>
      </c>
      <c r="L22" s="37"/>
      <c r="M22" s="37">
        <f t="shared" si="7"/>
      </c>
    </row>
    <row r="23" spans="1:13" ht="15">
      <c r="A23" s="20"/>
      <c r="B23" s="21"/>
      <c r="C23" s="22" t="s">
        <v>17</v>
      </c>
      <c r="D23" s="23"/>
      <c r="E23" s="24"/>
      <c r="F23" s="39">
        <f>SUM(F9:F22)</f>
        <v>25800</v>
      </c>
      <c r="H23" s="20"/>
      <c r="I23" s="21"/>
      <c r="J23" s="22" t="s">
        <v>17</v>
      </c>
      <c r="K23" s="23"/>
      <c r="L23" s="24"/>
      <c r="M23" s="39">
        <f>SUM(M9:M22)</f>
        <v>22440</v>
      </c>
    </row>
    <row r="24" spans="1:13" ht="15">
      <c r="A24" s="20">
        <v>201</v>
      </c>
      <c r="B24" s="20" t="str">
        <f>IF(ISERROR(VLOOKUP($A24,costosv,2,0))=TRUE,"",VLOOKUP($A24,costosv,2,0))</f>
        <v>MANO DE OBRA AL DESTAJO</v>
      </c>
      <c r="C24" s="20">
        <f aca="true" t="shared" si="8" ref="C24:C29">IF(ISERROR(VLOOKUP($A24,costosv,3,0))=TRUE,"",VLOOKUP($A24,costosv,3,0))</f>
        <v>0</v>
      </c>
      <c r="D24" s="20">
        <f>IF(ISERROR(VLOOKUP($A24,costosv,4,0))=TRUE,"",VLOOKUP($A24,costosv,4,0))</f>
        <v>600</v>
      </c>
      <c r="E24" s="25">
        <v>10</v>
      </c>
      <c r="F24" s="37">
        <f>IF(ISERROR(D24*E24)=TRUE,"",D24*E24)</f>
        <v>6000</v>
      </c>
      <c r="H24" s="20">
        <v>601</v>
      </c>
      <c r="I24" s="20" t="str">
        <f aca="true" t="shared" si="9" ref="I24:I29">IF(ISERROR(VLOOKUP($H24,costosv2,2,0))=TRUE,"",VLOOKUP($H24,costosv2,2,0))</f>
        <v>MANO DE OBRA AL DESTAJO</v>
      </c>
      <c r="J24" s="20">
        <f aca="true" t="shared" si="10" ref="J24:J29">IF(ISERROR(VLOOKUP($H24,costosv2,3,0))=TRUE,"",VLOOKUP($H24,costosv2,3,0))</f>
        <v>0</v>
      </c>
      <c r="K24" s="20">
        <f aca="true" t="shared" si="11" ref="K24:K29">IF(ISERROR(VLOOKUP($H24,costosv2,4,0))=TRUE,"",VLOOKUP($H24,costosv2,4,0))</f>
        <v>600</v>
      </c>
      <c r="L24" s="25">
        <v>10</v>
      </c>
      <c r="M24" s="37">
        <f aca="true" t="shared" si="12" ref="M24:M29">IF(ISERROR(K24*L24)=TRUE,"",K24*L24)</f>
        <v>6000</v>
      </c>
    </row>
    <row r="25" spans="1:13" ht="15">
      <c r="A25" s="20">
        <v>202</v>
      </c>
      <c r="B25" s="20" t="str">
        <f>IF(ISERROR(VLOOKUP($A25,costosv,2,0))=TRUE,"",VLOOKUP($A25,costosv,2,0))</f>
        <v>EMPAQUES -malla</v>
      </c>
      <c r="C25" s="20" t="str">
        <f t="shared" si="8"/>
        <v>unidad</v>
      </c>
      <c r="D25" s="37">
        <f>IF(ISERROR(VLOOKUP($A25,costosv,4,0))=TRUE,"",VLOOKUP($A25,costosv,4,0))</f>
        <v>60</v>
      </c>
      <c r="E25" s="25">
        <v>10</v>
      </c>
      <c r="F25" s="37">
        <f>IF(ISERROR(D25*E25)=TRUE,"",D25*E25)</f>
        <v>600</v>
      </c>
      <c r="H25" s="20">
        <v>602</v>
      </c>
      <c r="I25" s="20" t="str">
        <f t="shared" si="9"/>
        <v>EMPAQUES -malla</v>
      </c>
      <c r="J25" s="20" t="str">
        <f t="shared" si="10"/>
        <v>unidad</v>
      </c>
      <c r="K25" s="20">
        <f t="shared" si="11"/>
        <v>60</v>
      </c>
      <c r="L25" s="25">
        <v>10</v>
      </c>
      <c r="M25" s="37">
        <f t="shared" si="12"/>
        <v>600</v>
      </c>
    </row>
    <row r="26" spans="1:13" ht="15">
      <c r="A26" s="20">
        <v>203</v>
      </c>
      <c r="B26" s="20" t="str">
        <f>IF(ISERROR(VLOOKUP($A26,costosv,2,0))=TRUE,"",VLOOKUP($A26,costosv,2,0))</f>
        <v>COMISION POR VENTA</v>
      </c>
      <c r="C26" s="20">
        <f t="shared" si="8"/>
        <v>0</v>
      </c>
      <c r="D26" s="37">
        <f>IF(ISERROR(VLOOKUP($A26,costosv,4,0))=TRUE,"",VLOOKUP($A26,costosv,4,0))</f>
        <v>0</v>
      </c>
      <c r="E26" s="25">
        <v>0</v>
      </c>
      <c r="F26" s="37">
        <f>IF(ISERROR(D26*E26)=TRUE,"",D26*E26)</f>
        <v>0</v>
      </c>
      <c r="H26" s="20">
        <v>603</v>
      </c>
      <c r="I26" s="20" t="str">
        <f t="shared" si="9"/>
        <v>COMISION POR VENTA</v>
      </c>
      <c r="J26" s="20">
        <f t="shared" si="10"/>
        <v>0</v>
      </c>
      <c r="K26" s="20">
        <f t="shared" si="11"/>
        <v>0</v>
      </c>
      <c r="L26" s="25">
        <v>0</v>
      </c>
      <c r="M26" s="37">
        <f t="shared" si="12"/>
        <v>0</v>
      </c>
    </row>
    <row r="27" spans="1:13" ht="15">
      <c r="A27" s="20"/>
      <c r="B27" s="25"/>
      <c r="C27" s="20">
        <f t="shared" si="8"/>
      </c>
      <c r="D27" s="37">
        <f>IF(ISERROR(VLOOKUP($A27,costosv,4,0))=TRUE,"",VLOOKUP($A27,costosv,4,0))</f>
      </c>
      <c r="E27" s="25">
        <v>0</v>
      </c>
      <c r="F27" s="37">
        <f>IF(ISERROR(D27*E27)=TRUE,"",D27*E27)</f>
      </c>
      <c r="H27" s="20"/>
      <c r="I27" s="20">
        <f t="shared" si="9"/>
      </c>
      <c r="J27" s="20">
        <f t="shared" si="10"/>
      </c>
      <c r="K27" s="20">
        <f t="shared" si="11"/>
      </c>
      <c r="L27" s="25">
        <v>0</v>
      </c>
      <c r="M27" s="37">
        <f t="shared" si="12"/>
      </c>
    </row>
    <row r="28" spans="1:13" ht="15">
      <c r="A28" s="20"/>
      <c r="B28" s="25"/>
      <c r="C28" s="20">
        <f t="shared" si="8"/>
      </c>
      <c r="D28" s="37">
        <f>IF(ISERROR(VLOOKUP($A28,costosv,4,0))=TRUE,"",VLOOKUP($A28,costosv,4,0))</f>
      </c>
      <c r="E28" s="25">
        <v>0</v>
      </c>
      <c r="F28" s="37">
        <f>IF(ISERROR(D28*E28)=TRUE,"",D28*E28)</f>
      </c>
      <c r="H28" s="20"/>
      <c r="I28" s="20">
        <f t="shared" si="9"/>
      </c>
      <c r="J28" s="20">
        <f t="shared" si="10"/>
      </c>
      <c r="K28" s="20">
        <f t="shared" si="11"/>
      </c>
      <c r="L28" s="25">
        <v>0</v>
      </c>
      <c r="M28" s="37">
        <f t="shared" si="12"/>
      </c>
    </row>
    <row r="29" spans="1:13" ht="15">
      <c r="A29" s="20"/>
      <c r="B29" s="25"/>
      <c r="C29" s="20">
        <f t="shared" si="8"/>
      </c>
      <c r="D29" s="37">
        <f>IF(ISERROR(VLOOKUP($A29,costosv,4,0))=TRUE,"",VLOOKUP($A29,costosv,4,0))</f>
      </c>
      <c r="E29" s="25">
        <v>0</v>
      </c>
      <c r="F29" s="37">
        <f>IF(ISERROR(D29*E29)=TRUE,"",D29*E29)</f>
      </c>
      <c r="H29" s="20"/>
      <c r="I29" s="20">
        <f t="shared" si="9"/>
      </c>
      <c r="J29" s="20">
        <f t="shared" si="10"/>
      </c>
      <c r="K29" s="20">
        <f t="shared" si="11"/>
      </c>
      <c r="L29" s="25">
        <v>0</v>
      </c>
      <c r="M29" s="37">
        <f t="shared" si="12"/>
      </c>
    </row>
    <row r="30" spans="2:13" ht="15">
      <c r="B30" s="26"/>
      <c r="C30" s="27" t="s">
        <v>20</v>
      </c>
      <c r="D30" s="28"/>
      <c r="E30" s="29"/>
      <c r="F30" s="40">
        <f>SUM(F24:F29)</f>
        <v>6600</v>
      </c>
      <c r="I30" s="26"/>
      <c r="J30" s="27" t="s">
        <v>20</v>
      </c>
      <c r="K30" s="28"/>
      <c r="L30" s="29"/>
      <c r="M30" s="40">
        <f>SUM(M24:M29)</f>
        <v>6600</v>
      </c>
    </row>
    <row r="31" spans="2:13" ht="15">
      <c r="B31" s="26"/>
      <c r="C31" s="27" t="s">
        <v>21</v>
      </c>
      <c r="D31" s="28"/>
      <c r="E31" s="29"/>
      <c r="F31" s="40">
        <f>+F23+F30</f>
        <v>32400</v>
      </c>
      <c r="I31" s="26"/>
      <c r="J31" s="27" t="s">
        <v>21</v>
      </c>
      <c r="K31" s="28"/>
      <c r="L31" s="29"/>
      <c r="M31" s="40">
        <f>+M23+M30</f>
        <v>29040</v>
      </c>
    </row>
    <row r="32" spans="2:13" ht="15.75" thickBot="1">
      <c r="B32" s="30"/>
      <c r="C32" s="31"/>
      <c r="D32" s="30"/>
      <c r="E32" s="30"/>
      <c r="F32" s="6"/>
      <c r="I32" s="30"/>
      <c r="J32" s="31"/>
      <c r="K32" s="30"/>
      <c r="L32" s="30"/>
      <c r="M32" s="6"/>
    </row>
    <row r="33" spans="2:27" ht="16.5" thickBot="1">
      <c r="B33" s="43">
        <f>+F31</f>
        <v>32400</v>
      </c>
      <c r="C33" s="30"/>
      <c r="D33" s="45">
        <f>+F3</f>
        <v>10</v>
      </c>
      <c r="F33" s="42">
        <f>+B33/D33</f>
        <v>3240</v>
      </c>
      <c r="I33" s="43">
        <f>+M31</f>
        <v>29040</v>
      </c>
      <c r="J33" s="30"/>
      <c r="K33" s="45">
        <f>+M3</f>
        <v>10</v>
      </c>
      <c r="M33" s="51">
        <f>+I33/K33</f>
        <v>2904</v>
      </c>
      <c r="P33" s="43">
        <f>+S31</f>
        <v>0</v>
      </c>
      <c r="Q33" s="30"/>
      <c r="R33" s="45"/>
      <c r="T33" s="51">
        <v>6000</v>
      </c>
      <c r="W33" s="43">
        <f>+Z31</f>
        <v>0</v>
      </c>
      <c r="X33" s="30"/>
      <c r="Y33" s="45"/>
      <c r="AA33" s="51">
        <v>5106</v>
      </c>
    </row>
    <row r="35" spans="4:13" ht="15">
      <c r="D35" t="s">
        <v>45</v>
      </c>
      <c r="F35" s="49">
        <f>+C4</f>
        <v>4700</v>
      </c>
      <c r="K35" t="s">
        <v>45</v>
      </c>
      <c r="M35" s="50">
        <f>+J4</f>
        <v>3700</v>
      </c>
    </row>
    <row r="36" spans="4:13" ht="15">
      <c r="D36" t="s">
        <v>46</v>
      </c>
      <c r="F36" s="49">
        <f>+F35-F33</f>
        <v>1460</v>
      </c>
      <c r="K36" t="s">
        <v>46</v>
      </c>
      <c r="M36" s="52">
        <f>+M35-M33</f>
        <v>796</v>
      </c>
    </row>
    <row r="37" spans="4:13" ht="15">
      <c r="D37" t="s">
        <v>47</v>
      </c>
      <c r="F37" s="55">
        <f>+F36/F35</f>
        <v>0.31063829787234043</v>
      </c>
      <c r="K37" t="s">
        <v>47</v>
      </c>
      <c r="M37" s="53">
        <f>+M36/M35</f>
        <v>0.21513513513513513</v>
      </c>
    </row>
    <row r="39" spans="6:13" ht="15">
      <c r="F39" s="54">
        <f>100%-F37</f>
        <v>0.6893617021276596</v>
      </c>
      <c r="M39" s="53">
        <f>100%-M37</f>
        <v>0.7848648648648648</v>
      </c>
    </row>
  </sheetData>
  <sheetProtection/>
  <mergeCells count="4">
    <mergeCell ref="C3:D3"/>
    <mergeCell ref="J3:K3"/>
    <mergeCell ref="Q3:R3"/>
    <mergeCell ref="X3:Y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9" sqref="A9:J19"/>
    </sheetView>
  </sheetViews>
  <sheetFormatPr defaultColWidth="11.421875" defaultRowHeight="15"/>
  <cols>
    <col min="1" max="1" width="23.28125" style="0" customWidth="1"/>
    <col min="2" max="2" width="13.57421875" style="0" customWidth="1"/>
    <col min="3" max="3" width="12.00390625" style="0" bestFit="1" customWidth="1"/>
    <col min="5" max="5" width="11.8515625" style="0" customWidth="1"/>
    <col min="7" max="7" width="14.57421875" style="0" bestFit="1" customWidth="1"/>
    <col min="8" max="8" width="12.8515625" style="0" customWidth="1"/>
  </cols>
  <sheetData>
    <row r="1" ht="15">
      <c r="A1" t="s">
        <v>48</v>
      </c>
    </row>
    <row r="3" spans="1:8" ht="75">
      <c r="A3" s="20" t="s">
        <v>49</v>
      </c>
      <c r="B3" s="85" t="s">
        <v>54</v>
      </c>
      <c r="C3" s="85" t="s">
        <v>55</v>
      </c>
      <c r="D3" s="85" t="s">
        <v>53</v>
      </c>
      <c r="E3" s="85" t="s">
        <v>56</v>
      </c>
      <c r="F3" s="85" t="s">
        <v>57</v>
      </c>
      <c r="G3" s="85" t="s">
        <v>58</v>
      </c>
      <c r="H3" s="85" t="s">
        <v>59</v>
      </c>
    </row>
    <row r="4" spans="1:8" ht="15">
      <c r="A4" s="20" t="str">
        <f>+CostosVariablesProductos!C3</f>
        <v>Balon de Futbol</v>
      </c>
      <c r="B4" s="20">
        <f>+CostosVariablesProductos!F4</f>
        <v>1100</v>
      </c>
      <c r="C4" s="144">
        <f>+'Datos Iniciales'!E2</f>
        <v>4700</v>
      </c>
      <c r="D4" s="144">
        <f>+CostosVariablesProductos!F33</f>
        <v>3240</v>
      </c>
      <c r="E4" s="144">
        <f>+C4-D4</f>
        <v>1460</v>
      </c>
      <c r="F4" s="145">
        <f>+E4/C4</f>
        <v>0.31063829787234043</v>
      </c>
      <c r="G4" s="144">
        <f>B4*C4</f>
        <v>5170000</v>
      </c>
      <c r="H4" s="144">
        <f>+B4*E4</f>
        <v>1606000</v>
      </c>
    </row>
    <row r="5" spans="1:8" ht="15">
      <c r="A5" s="20" t="str">
        <f>+'Datos Iniciales'!H2</f>
        <v>Balon micro Futbol</v>
      </c>
      <c r="B5" s="20">
        <f>+CostosVariablesProductos!M4</f>
        <v>1550</v>
      </c>
      <c r="C5" s="144">
        <f>+'Datos Iniciales'!J2</f>
        <v>3700</v>
      </c>
      <c r="D5" s="146">
        <f>+CostosVariablesProductos!M33</f>
        <v>2904</v>
      </c>
      <c r="E5" s="144">
        <f>+C5-D5</f>
        <v>796</v>
      </c>
      <c r="F5" s="145">
        <f>+E5/C5</f>
        <v>0.21513513513513513</v>
      </c>
      <c r="G5" s="144">
        <f>B5*C5</f>
        <v>5735000</v>
      </c>
      <c r="H5" s="144">
        <f>+B5*E5</f>
        <v>1233800</v>
      </c>
    </row>
    <row r="6" spans="1:8" ht="15">
      <c r="A6" s="20" t="str">
        <f>+'Datos Iniciales'!M2</f>
        <v>Balon Profesional</v>
      </c>
      <c r="B6" s="20">
        <f>+CostosVariablesProductos!T4</f>
        <v>150</v>
      </c>
      <c r="C6" s="144">
        <f>+'Datos Iniciales'!O2</f>
        <v>10000</v>
      </c>
      <c r="D6" s="146">
        <f>+CostosVariablesProductos!T33</f>
        <v>6000</v>
      </c>
      <c r="E6" s="144">
        <f>+C6-D6</f>
        <v>4000</v>
      </c>
      <c r="F6" s="145">
        <f>+E6/C6</f>
        <v>0.4</v>
      </c>
      <c r="G6" s="144">
        <f>B6*C6</f>
        <v>1500000</v>
      </c>
      <c r="H6" s="144">
        <f>+B6*E6</f>
        <v>600000</v>
      </c>
    </row>
    <row r="7" spans="1:8" ht="15">
      <c r="A7" s="20" t="str">
        <f>+'Datos Iniciales'!R2</f>
        <v>Balon micro profesional</v>
      </c>
      <c r="B7" s="20">
        <f>+CostosVariablesProductos!AA4</f>
        <v>90</v>
      </c>
      <c r="C7" s="144">
        <f>+'Datos Iniciales'!T2</f>
        <v>8000</v>
      </c>
      <c r="D7" s="146">
        <f>+CostosVariablesProductos!AA33</f>
        <v>5106</v>
      </c>
      <c r="E7" s="144">
        <f>+C7-D7</f>
        <v>2894</v>
      </c>
      <c r="F7" s="145">
        <f>+E7/C7</f>
        <v>0.36175</v>
      </c>
      <c r="G7" s="144">
        <f>B7*C7</f>
        <v>720000</v>
      </c>
      <c r="H7" s="144">
        <f>+B7*E7</f>
        <v>260460</v>
      </c>
    </row>
    <row r="9" spans="5:8" ht="15">
      <c r="E9" s="177" t="s">
        <v>60</v>
      </c>
      <c r="F9" s="177"/>
      <c r="G9" s="144">
        <f>SUM(G4:G8)</f>
        <v>13125000</v>
      </c>
      <c r="H9" s="144">
        <f>SUM(H4:H8)</f>
        <v>3700260</v>
      </c>
    </row>
    <row r="11" spans="1:5" ht="15">
      <c r="A11" s="20" t="s">
        <v>61</v>
      </c>
      <c r="B11" s="20"/>
      <c r="C11" s="20"/>
      <c r="D11" s="47" t="s">
        <v>62</v>
      </c>
      <c r="E11" t="s">
        <v>63</v>
      </c>
    </row>
    <row r="13" spans="1:5" ht="21">
      <c r="A13" s="178" t="s">
        <v>61</v>
      </c>
      <c r="B13" s="178"/>
      <c r="C13" s="178"/>
      <c r="D13" s="47" t="s">
        <v>62</v>
      </c>
      <c r="E13" s="56">
        <f>(H9/G9)</f>
        <v>0.2819245714285714</v>
      </c>
    </row>
    <row r="15" spans="1:5" ht="15">
      <c r="A15" s="20" t="s">
        <v>64</v>
      </c>
      <c r="D15" s="47" t="s">
        <v>62</v>
      </c>
      <c r="E15" t="s">
        <v>65</v>
      </c>
    </row>
    <row r="17" ht="15">
      <c r="D17" s="47"/>
    </row>
  </sheetData>
  <sheetProtection/>
  <mergeCells count="2">
    <mergeCell ref="E9:F9"/>
    <mergeCell ref="A13:C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="82" zoomScaleNormal="82" zoomScalePageLayoutView="0" workbookViewId="0" topLeftCell="A1">
      <selection activeCell="C3" sqref="C3"/>
    </sheetView>
  </sheetViews>
  <sheetFormatPr defaultColWidth="11.421875" defaultRowHeight="15"/>
  <cols>
    <col min="2" max="2" width="45.140625" style="0" bestFit="1" customWidth="1"/>
    <col min="3" max="3" width="17.7109375" style="0" bestFit="1" customWidth="1"/>
    <col min="4" max="4" width="15.421875" style="0" bestFit="1" customWidth="1"/>
    <col min="5" max="5" width="15.140625" style="0" bestFit="1" customWidth="1"/>
  </cols>
  <sheetData>
    <row r="1" ht="15.75" thickBot="1">
      <c r="B1" t="s">
        <v>94</v>
      </c>
    </row>
    <row r="2" spans="2:5" ht="15.75">
      <c r="B2" s="57" t="s">
        <v>66</v>
      </c>
      <c r="C2" s="58" t="s">
        <v>67</v>
      </c>
      <c r="D2" s="59" t="s">
        <v>68</v>
      </c>
      <c r="E2" s="58" t="s">
        <v>69</v>
      </c>
    </row>
    <row r="3" spans="2:5" ht="18">
      <c r="B3" s="60"/>
      <c r="C3" s="61" t="s">
        <v>70</v>
      </c>
      <c r="D3" s="62" t="s">
        <v>71</v>
      </c>
      <c r="E3" s="63" t="s">
        <v>72</v>
      </c>
    </row>
    <row r="4" spans="2:5" ht="15.75" thickBot="1">
      <c r="B4" s="64"/>
      <c r="C4" s="65" t="s">
        <v>73</v>
      </c>
      <c r="D4" s="66" t="s">
        <v>74</v>
      </c>
      <c r="E4" s="67" t="s">
        <v>75</v>
      </c>
    </row>
    <row r="5" spans="1:5" ht="15">
      <c r="A5">
        <v>1001</v>
      </c>
      <c r="B5" s="75" t="s">
        <v>77</v>
      </c>
      <c r="C5" s="68">
        <v>2</v>
      </c>
      <c r="D5" s="78">
        <v>2500000</v>
      </c>
      <c r="E5" s="82">
        <f>+D5*C5</f>
        <v>5000000</v>
      </c>
    </row>
    <row r="6" spans="1:5" ht="15">
      <c r="A6">
        <v>1002</v>
      </c>
      <c r="B6" s="76" t="s">
        <v>78</v>
      </c>
      <c r="C6" s="69">
        <v>1</v>
      </c>
      <c r="D6" s="79">
        <v>4000000</v>
      </c>
      <c r="E6" s="82">
        <f aca="true" t="shared" si="0" ref="E6:E13">+D6*C6</f>
        <v>4000000</v>
      </c>
    </row>
    <row r="7" spans="1:5" ht="15">
      <c r="A7">
        <v>1003</v>
      </c>
      <c r="B7" s="76" t="s">
        <v>79</v>
      </c>
      <c r="C7" s="69">
        <v>3</v>
      </c>
      <c r="D7" s="79">
        <v>150000</v>
      </c>
      <c r="E7" s="82">
        <f t="shared" si="0"/>
        <v>450000</v>
      </c>
    </row>
    <row r="8" spans="1:5" ht="15">
      <c r="A8">
        <v>1004</v>
      </c>
      <c r="B8" s="76" t="s">
        <v>80</v>
      </c>
      <c r="C8" s="69">
        <v>3</v>
      </c>
      <c r="D8" s="79">
        <v>100000</v>
      </c>
      <c r="E8" s="82">
        <f t="shared" si="0"/>
        <v>300000</v>
      </c>
    </row>
    <row r="9" spans="1:5" ht="15">
      <c r="A9">
        <v>1005</v>
      </c>
      <c r="B9" s="76" t="s">
        <v>81</v>
      </c>
      <c r="C9" s="69">
        <v>1</v>
      </c>
      <c r="D9" s="79">
        <v>1800000</v>
      </c>
      <c r="E9" s="82">
        <f t="shared" si="0"/>
        <v>1800000</v>
      </c>
    </row>
    <row r="10" spans="1:5" ht="15">
      <c r="A10">
        <v>1006</v>
      </c>
      <c r="B10" s="76" t="s">
        <v>82</v>
      </c>
      <c r="C10" s="69">
        <v>2</v>
      </c>
      <c r="D10" s="79">
        <v>950000</v>
      </c>
      <c r="E10" s="82">
        <f t="shared" si="0"/>
        <v>1900000</v>
      </c>
    </row>
    <row r="11" spans="1:5" ht="15">
      <c r="A11">
        <v>1007</v>
      </c>
      <c r="B11" s="76" t="s">
        <v>83</v>
      </c>
      <c r="C11" s="69"/>
      <c r="D11" s="79">
        <v>150000</v>
      </c>
      <c r="E11" s="82">
        <f>+D11</f>
        <v>150000</v>
      </c>
    </row>
    <row r="12" spans="1:5" ht="15">
      <c r="A12">
        <v>1008</v>
      </c>
      <c r="B12" s="76" t="s">
        <v>84</v>
      </c>
      <c r="C12" s="69">
        <v>1</v>
      </c>
      <c r="D12" s="79">
        <v>1200000</v>
      </c>
      <c r="E12" s="82">
        <f t="shared" si="0"/>
        <v>1200000</v>
      </c>
    </row>
    <row r="13" spans="1:5" ht="15">
      <c r="A13">
        <v>1009</v>
      </c>
      <c r="B13" s="76" t="s">
        <v>85</v>
      </c>
      <c r="C13" s="69">
        <v>10</v>
      </c>
      <c r="D13" s="79">
        <v>20000</v>
      </c>
      <c r="E13" s="82">
        <f t="shared" si="0"/>
        <v>200000</v>
      </c>
    </row>
    <row r="14" spans="1:5" ht="15">
      <c r="A14">
        <v>1010</v>
      </c>
      <c r="B14" s="76"/>
      <c r="C14" s="69"/>
      <c r="D14" s="79"/>
      <c r="E14" s="82"/>
    </row>
    <row r="15" spans="1:5" ht="15">
      <c r="A15">
        <v>1011</v>
      </c>
      <c r="B15" s="76"/>
      <c r="C15" s="69"/>
      <c r="D15" s="79"/>
      <c r="E15" s="82"/>
    </row>
    <row r="16" spans="1:5" ht="15">
      <c r="A16">
        <v>1012</v>
      </c>
      <c r="B16" s="76"/>
      <c r="C16" s="69"/>
      <c r="D16" s="79"/>
      <c r="E16" s="82"/>
    </row>
    <row r="17" spans="1:5" ht="15">
      <c r="A17">
        <v>1013</v>
      </c>
      <c r="B17" s="76"/>
      <c r="C17" s="69"/>
      <c r="D17" s="79"/>
      <c r="E17" s="82"/>
    </row>
    <row r="18" spans="1:5" ht="15">
      <c r="A18">
        <v>1014</v>
      </c>
      <c r="B18" s="76"/>
      <c r="C18" s="69"/>
      <c r="D18" s="79"/>
      <c r="E18" s="82"/>
    </row>
    <row r="19" spans="1:5" ht="15">
      <c r="A19">
        <v>1015</v>
      </c>
      <c r="B19" s="76"/>
      <c r="C19" s="69"/>
      <c r="D19" s="79"/>
      <c r="E19" s="82"/>
    </row>
    <row r="20" spans="1:5" ht="15">
      <c r="A20">
        <v>1016</v>
      </c>
      <c r="B20" s="76"/>
      <c r="C20" s="69"/>
      <c r="D20" s="79"/>
      <c r="E20" s="82"/>
    </row>
    <row r="21" spans="1:5" ht="15">
      <c r="A21">
        <v>1017</v>
      </c>
      <c r="B21" s="76"/>
      <c r="C21" s="69"/>
      <c r="D21" s="79"/>
      <c r="E21" s="82"/>
    </row>
    <row r="22" spans="1:5" ht="15">
      <c r="A22">
        <v>1018</v>
      </c>
      <c r="B22" s="76"/>
      <c r="C22" s="69"/>
      <c r="D22" s="79"/>
      <c r="E22" s="82"/>
    </row>
    <row r="23" spans="1:5" ht="15">
      <c r="A23">
        <v>1019</v>
      </c>
      <c r="B23" s="77"/>
      <c r="C23" s="70"/>
      <c r="D23" s="80"/>
      <c r="E23" s="83"/>
    </row>
    <row r="24" spans="1:5" ht="15">
      <c r="A24">
        <v>1020</v>
      </c>
      <c r="B24" s="77"/>
      <c r="C24" s="70"/>
      <c r="D24" s="80"/>
      <c r="E24" s="83"/>
    </row>
    <row r="25" spans="1:5" ht="15">
      <c r="A25">
        <v>1021</v>
      </c>
      <c r="B25" s="77"/>
      <c r="C25" s="70"/>
      <c r="D25" s="80"/>
      <c r="E25" s="83"/>
    </row>
    <row r="26" spans="1:5" ht="15">
      <c r="A26">
        <v>1022</v>
      </c>
      <c r="B26" s="77"/>
      <c r="C26" s="70"/>
      <c r="D26" s="80"/>
      <c r="E26" s="83"/>
    </row>
    <row r="27" spans="1:5" ht="15">
      <c r="A27">
        <v>1023</v>
      </c>
      <c r="B27" s="77"/>
      <c r="C27" s="70"/>
      <c r="D27" s="80"/>
      <c r="E27" s="83"/>
    </row>
    <row r="28" spans="1:5" ht="15">
      <c r="A28">
        <v>1024</v>
      </c>
      <c r="B28" s="77"/>
      <c r="C28" s="70"/>
      <c r="D28" s="80"/>
      <c r="E28" s="83"/>
    </row>
    <row r="29" spans="1:5" ht="15">
      <c r="A29">
        <v>1025</v>
      </c>
      <c r="B29" s="77"/>
      <c r="C29" s="70"/>
      <c r="D29" s="80"/>
      <c r="E29" s="83"/>
    </row>
    <row r="30" spans="1:5" ht="15.75" thickBot="1">
      <c r="A30">
        <v>1026</v>
      </c>
      <c r="B30" s="77"/>
      <c r="C30" s="71"/>
      <c r="D30" s="81"/>
      <c r="E30" s="83"/>
    </row>
    <row r="31" spans="2:5" ht="18.75" thickBot="1">
      <c r="B31" s="72" t="s">
        <v>76</v>
      </c>
      <c r="C31" s="73"/>
      <c r="D31" s="74"/>
      <c r="E31" s="84">
        <f>SUM(E5:E30)</f>
        <v>15000000</v>
      </c>
    </row>
    <row r="33" spans="2:3" ht="23.25">
      <c r="B33" s="86" t="s">
        <v>96</v>
      </c>
      <c r="C33" s="87">
        <f>+E31/Depreciacion!E7</f>
        <v>125000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C5" sqref="C5"/>
    </sheetView>
  </sheetViews>
  <sheetFormatPr defaultColWidth="11.421875" defaultRowHeight="15"/>
  <cols>
    <col min="2" max="2" width="19.421875" style="0" customWidth="1"/>
  </cols>
  <sheetData>
    <row r="1" ht="15">
      <c r="A1" t="s">
        <v>86</v>
      </c>
    </row>
    <row r="2" spans="2:5" ht="30">
      <c r="B2" s="20" t="s">
        <v>87</v>
      </c>
      <c r="C2" s="20" t="s">
        <v>88</v>
      </c>
      <c r="D2" s="20" t="s">
        <v>89</v>
      </c>
      <c r="E2" s="85" t="s">
        <v>90</v>
      </c>
    </row>
    <row r="3" spans="1:5" ht="15">
      <c r="A3">
        <v>10</v>
      </c>
      <c r="B3" s="20" t="s">
        <v>91</v>
      </c>
      <c r="C3" s="38">
        <v>10</v>
      </c>
      <c r="D3" s="20">
        <v>12</v>
      </c>
      <c r="E3" s="20">
        <f>+C3*D3</f>
        <v>120</v>
      </c>
    </row>
    <row r="4" spans="1:5" ht="15">
      <c r="A4">
        <v>20</v>
      </c>
      <c r="B4" s="20" t="s">
        <v>92</v>
      </c>
      <c r="C4" s="38">
        <v>5</v>
      </c>
      <c r="D4" s="20">
        <v>12</v>
      </c>
      <c r="E4" s="20">
        <f>+C4*D4</f>
        <v>60</v>
      </c>
    </row>
    <row r="5" spans="1:5" ht="15">
      <c r="A5">
        <v>30</v>
      </c>
      <c r="B5" s="20" t="s">
        <v>93</v>
      </c>
      <c r="C5" s="38">
        <v>3</v>
      </c>
      <c r="D5" s="20">
        <v>12</v>
      </c>
      <c r="E5" s="20">
        <f>+C5*D5</f>
        <v>36</v>
      </c>
    </row>
    <row r="6" spans="1:5" ht="15">
      <c r="A6">
        <v>40</v>
      </c>
      <c r="B6" s="20" t="s">
        <v>95</v>
      </c>
      <c r="C6" s="38">
        <v>20</v>
      </c>
      <c r="D6" s="20"/>
      <c r="E6" s="20">
        <f>+C6*D6</f>
        <v>0</v>
      </c>
    </row>
    <row r="7" spans="1:5" ht="15">
      <c r="A7">
        <v>50</v>
      </c>
      <c r="B7" s="20" t="s">
        <v>94</v>
      </c>
      <c r="C7" s="38">
        <v>10</v>
      </c>
      <c r="D7" s="20">
        <v>12</v>
      </c>
      <c r="E7" s="20">
        <f>+C7*D7</f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R21"/>
  <sheetViews>
    <sheetView zoomScalePageLayoutView="0" workbookViewId="0" topLeftCell="F1">
      <selection activeCell="R8" sqref="R8"/>
    </sheetView>
  </sheetViews>
  <sheetFormatPr defaultColWidth="11.421875" defaultRowHeight="15"/>
  <sheetData>
    <row r="3" spans="1:18" ht="15">
      <c r="A3" s="88"/>
      <c r="B3" s="89" t="s">
        <v>97</v>
      </c>
      <c r="C3" s="90" t="s">
        <v>98</v>
      </c>
      <c r="D3" s="22"/>
      <c r="E3" s="91"/>
      <c r="F3" s="92"/>
      <c r="G3" s="90" t="s">
        <v>99</v>
      </c>
      <c r="H3" s="22"/>
      <c r="I3" s="22"/>
      <c r="J3" s="91"/>
      <c r="K3" s="93" t="s">
        <v>100</v>
      </c>
      <c r="L3" s="90" t="s">
        <v>101</v>
      </c>
      <c r="M3" s="22"/>
      <c r="N3" s="91"/>
      <c r="O3" s="94" t="s">
        <v>102</v>
      </c>
      <c r="P3" s="93" t="s">
        <v>100</v>
      </c>
      <c r="Q3" s="93" t="s">
        <v>100</v>
      </c>
      <c r="R3" s="93" t="s">
        <v>100</v>
      </c>
    </row>
    <row r="4" spans="1:18" ht="15">
      <c r="A4" s="95"/>
      <c r="B4" s="96"/>
      <c r="C4" s="94" t="s">
        <v>103</v>
      </c>
      <c r="D4" s="97" t="s">
        <v>104</v>
      </c>
      <c r="E4" s="94"/>
      <c r="F4" s="98" t="s">
        <v>100</v>
      </c>
      <c r="G4" s="94"/>
      <c r="H4" s="94" t="s">
        <v>105</v>
      </c>
      <c r="I4" s="94"/>
      <c r="J4" s="94"/>
      <c r="K4" s="94" t="s">
        <v>106</v>
      </c>
      <c r="L4" s="94" t="s">
        <v>104</v>
      </c>
      <c r="M4" s="94"/>
      <c r="N4" s="94"/>
      <c r="O4" s="98" t="s">
        <v>107</v>
      </c>
      <c r="P4" s="94"/>
      <c r="Q4" s="97" t="s">
        <v>108</v>
      </c>
      <c r="R4" s="98" t="s">
        <v>109</v>
      </c>
    </row>
    <row r="5" spans="1:18" ht="15">
      <c r="A5" s="95"/>
      <c r="B5" s="96"/>
      <c r="C5" s="98"/>
      <c r="D5" s="98" t="s">
        <v>110</v>
      </c>
      <c r="E5" s="98"/>
      <c r="F5" s="98"/>
      <c r="G5" s="98" t="s">
        <v>111</v>
      </c>
      <c r="H5" s="98" t="s">
        <v>111</v>
      </c>
      <c r="I5" s="98" t="s">
        <v>112</v>
      </c>
      <c r="J5" s="98" t="s">
        <v>113</v>
      </c>
      <c r="K5" s="98" t="s">
        <v>114</v>
      </c>
      <c r="L5" s="98" t="s">
        <v>115</v>
      </c>
      <c r="M5" s="98" t="s">
        <v>116</v>
      </c>
      <c r="N5" s="98" t="s">
        <v>117</v>
      </c>
      <c r="O5" s="98" t="s">
        <v>118</v>
      </c>
      <c r="P5" s="98" t="s">
        <v>101</v>
      </c>
      <c r="Q5" s="98" t="s">
        <v>106</v>
      </c>
      <c r="R5" s="98" t="s">
        <v>119</v>
      </c>
    </row>
    <row r="6" spans="1:18" ht="15">
      <c r="A6" s="95" t="s">
        <v>120</v>
      </c>
      <c r="B6" s="96"/>
      <c r="C6" s="98" t="s">
        <v>121</v>
      </c>
      <c r="D6" s="99" t="s">
        <v>122</v>
      </c>
      <c r="E6" s="98" t="s">
        <v>123</v>
      </c>
      <c r="F6" s="99" t="s">
        <v>98</v>
      </c>
      <c r="G6" s="100">
        <v>0.0833</v>
      </c>
      <c r="H6" s="101">
        <v>0.01</v>
      </c>
      <c r="I6" s="100">
        <v>0.0417</v>
      </c>
      <c r="J6" s="100">
        <v>0.0833</v>
      </c>
      <c r="K6" s="100">
        <f>SUM(G6:J6)</f>
        <v>0.2183</v>
      </c>
      <c r="L6" s="101">
        <v>0.04</v>
      </c>
      <c r="M6" s="101">
        <v>0.02</v>
      </c>
      <c r="N6" s="101">
        <v>0.03</v>
      </c>
      <c r="O6" s="101">
        <v>0.21</v>
      </c>
      <c r="P6" s="100">
        <f>+O6+N6+M6+L6</f>
        <v>0.3</v>
      </c>
      <c r="Q6" s="102" t="s">
        <v>114</v>
      </c>
      <c r="R6" s="98" t="s">
        <v>124</v>
      </c>
    </row>
    <row r="7" spans="1:18" ht="15">
      <c r="A7" s="103"/>
      <c r="B7" s="104"/>
      <c r="C7" s="105"/>
      <c r="D7" s="106"/>
      <c r="E7" s="105"/>
      <c r="F7" s="106"/>
      <c r="G7" s="107" t="s">
        <v>125</v>
      </c>
      <c r="H7" s="107" t="s">
        <v>125</v>
      </c>
      <c r="I7" s="107" t="s">
        <v>126</v>
      </c>
      <c r="J7" s="107" t="s">
        <v>125</v>
      </c>
      <c r="K7" s="107"/>
      <c r="L7" s="107" t="s">
        <v>126</v>
      </c>
      <c r="M7" s="107" t="s">
        <v>126</v>
      </c>
      <c r="N7" s="107" t="s">
        <v>126</v>
      </c>
      <c r="O7" s="107" t="s">
        <v>126</v>
      </c>
      <c r="P7" s="107"/>
      <c r="Q7" s="100">
        <f>+P6+K6</f>
        <v>0.5183</v>
      </c>
      <c r="R7" s="105"/>
    </row>
    <row r="8" spans="1:18" ht="15">
      <c r="A8" s="108" t="s">
        <v>129</v>
      </c>
      <c r="B8" s="109"/>
      <c r="C8" s="110">
        <v>535600</v>
      </c>
      <c r="D8" s="110">
        <v>63600</v>
      </c>
      <c r="E8" s="111"/>
      <c r="F8" s="119">
        <f>+C8+D8</f>
        <v>599200</v>
      </c>
      <c r="G8" s="120">
        <f>+F8*$G$6</f>
        <v>49913.36</v>
      </c>
      <c r="H8" s="120">
        <f>+G8*$H$6</f>
        <v>499.1336</v>
      </c>
      <c r="I8" s="120">
        <f>+C8*$I$6</f>
        <v>22334.52</v>
      </c>
      <c r="J8" s="120">
        <f>+F8*$J$6</f>
        <v>49913.36</v>
      </c>
      <c r="K8" s="121">
        <f>SUM(G8:J8)</f>
        <v>122660.3736</v>
      </c>
      <c r="L8" s="120">
        <f>+C8*$L$6</f>
        <v>21424</v>
      </c>
      <c r="M8" s="120">
        <f>+C8*$M$6</f>
        <v>10712</v>
      </c>
      <c r="N8" s="120">
        <f>+C8*$N$6</f>
        <v>16068</v>
      </c>
      <c r="O8" s="120">
        <f>+C8*$O$6</f>
        <v>112476</v>
      </c>
      <c r="P8" s="120">
        <f>SUM(L8:O8)</f>
        <v>160680</v>
      </c>
      <c r="Q8" s="120">
        <f>+P8+K8</f>
        <v>283340.3736</v>
      </c>
      <c r="R8" s="120">
        <f>+F8+Q8</f>
        <v>882540.3736</v>
      </c>
    </row>
    <row r="9" spans="1:18" ht="15">
      <c r="A9" s="112"/>
      <c r="B9" s="113"/>
      <c r="C9" s="111"/>
      <c r="D9" s="111"/>
      <c r="E9" s="111"/>
      <c r="F9" s="111"/>
      <c r="G9" s="120"/>
      <c r="H9" s="120"/>
      <c r="I9" s="120"/>
      <c r="J9" s="120"/>
      <c r="K9" s="121"/>
      <c r="L9" s="120"/>
      <c r="M9" s="120"/>
      <c r="N9" s="120"/>
      <c r="O9" s="120"/>
      <c r="P9" s="120"/>
      <c r="Q9" s="120"/>
      <c r="R9" s="120"/>
    </row>
    <row r="10" spans="1:18" ht="15">
      <c r="A10" s="108"/>
      <c r="B10" s="109"/>
      <c r="C10" s="114"/>
      <c r="D10" s="111"/>
      <c r="E10" s="111"/>
      <c r="F10" s="111"/>
      <c r="G10" s="120"/>
      <c r="H10" s="120"/>
      <c r="I10" s="120"/>
      <c r="J10" s="120"/>
      <c r="K10" s="121"/>
      <c r="L10" s="120"/>
      <c r="M10" s="120"/>
      <c r="N10" s="120"/>
      <c r="O10" s="120"/>
      <c r="P10" s="120"/>
      <c r="Q10" s="120"/>
      <c r="R10" s="120"/>
    </row>
    <row r="11" spans="1:18" ht="15">
      <c r="A11" s="112"/>
      <c r="B11" s="113"/>
      <c r="C11" s="111"/>
      <c r="D11" s="111"/>
      <c r="E11" s="111"/>
      <c r="F11" s="111"/>
      <c r="G11" s="120"/>
      <c r="H11" s="120"/>
      <c r="I11" s="120"/>
      <c r="J11" s="120"/>
      <c r="K11" s="121"/>
      <c r="L11" s="120"/>
      <c r="M11" s="120"/>
      <c r="N11" s="120"/>
      <c r="O11" s="120"/>
      <c r="P11" s="120"/>
      <c r="Q11" s="120"/>
      <c r="R11" s="120"/>
    </row>
    <row r="12" spans="1:18" ht="15">
      <c r="A12" s="112"/>
      <c r="B12" s="113"/>
      <c r="C12" s="44"/>
      <c r="D12" s="44"/>
      <c r="E12" s="44"/>
      <c r="F12" s="44"/>
      <c r="G12" s="122"/>
      <c r="H12" s="122"/>
      <c r="I12" s="122"/>
      <c r="J12" s="122"/>
      <c r="K12" s="123"/>
      <c r="L12" s="122"/>
      <c r="M12" s="122"/>
      <c r="N12" s="122"/>
      <c r="O12" s="122"/>
      <c r="P12" s="122"/>
      <c r="Q12" s="122"/>
      <c r="R12" s="122"/>
    </row>
    <row r="13" spans="1:18" ht="15">
      <c r="A13" s="112"/>
      <c r="B13" s="113"/>
      <c r="C13" s="44"/>
      <c r="D13" s="44"/>
      <c r="E13" s="44"/>
      <c r="F13" s="44"/>
      <c r="G13" s="122"/>
      <c r="H13" s="122"/>
      <c r="I13" s="122"/>
      <c r="J13" s="122"/>
      <c r="K13" s="123"/>
      <c r="L13" s="122"/>
      <c r="M13" s="122"/>
      <c r="N13" s="122"/>
      <c r="O13" s="122"/>
      <c r="P13" s="122"/>
      <c r="Q13" s="122"/>
      <c r="R13" s="122"/>
    </row>
    <row r="14" spans="1:18" ht="15">
      <c r="A14" s="112"/>
      <c r="B14" s="113"/>
      <c r="C14" s="44"/>
      <c r="D14" s="44"/>
      <c r="E14" s="44"/>
      <c r="F14" s="44"/>
      <c r="G14" s="122"/>
      <c r="H14" s="122"/>
      <c r="I14" s="122"/>
      <c r="J14" s="122"/>
      <c r="K14" s="123"/>
      <c r="L14" s="122"/>
      <c r="M14" s="122"/>
      <c r="N14" s="122"/>
      <c r="O14" s="122"/>
      <c r="P14" s="122"/>
      <c r="Q14" s="122"/>
      <c r="R14" s="122"/>
    </row>
    <row r="15" spans="1:18" ht="15">
      <c r="A15" s="112"/>
      <c r="B15" s="113"/>
      <c r="C15" s="44"/>
      <c r="D15" s="44"/>
      <c r="E15" s="44"/>
      <c r="F15" s="44"/>
      <c r="G15" s="122"/>
      <c r="H15" s="122"/>
      <c r="I15" s="122"/>
      <c r="J15" s="122"/>
      <c r="K15" s="123"/>
      <c r="L15" s="122"/>
      <c r="M15" s="122"/>
      <c r="N15" s="122"/>
      <c r="O15" s="122"/>
      <c r="P15" s="122"/>
      <c r="Q15" s="122"/>
      <c r="R15" s="122"/>
    </row>
    <row r="16" spans="1:18" ht="15">
      <c r="A16" s="112"/>
      <c r="B16" s="113"/>
      <c r="C16" s="44"/>
      <c r="D16" s="44"/>
      <c r="E16" s="44"/>
      <c r="F16" s="44"/>
      <c r="G16" s="122"/>
      <c r="H16" s="122"/>
      <c r="I16" s="122"/>
      <c r="J16" s="122"/>
      <c r="K16" s="123"/>
      <c r="L16" s="122"/>
      <c r="M16" s="122"/>
      <c r="N16" s="122"/>
      <c r="O16" s="122"/>
      <c r="P16" s="122"/>
      <c r="Q16" s="122"/>
      <c r="R16" s="122"/>
    </row>
    <row r="17" spans="1:18" ht="15">
      <c r="A17" s="112"/>
      <c r="B17" s="113"/>
      <c r="C17" s="44"/>
      <c r="D17" s="44"/>
      <c r="E17" s="44"/>
      <c r="F17" s="44"/>
      <c r="G17" s="122"/>
      <c r="H17" s="122"/>
      <c r="I17" s="122"/>
      <c r="J17" s="122"/>
      <c r="K17" s="123"/>
      <c r="L17" s="122"/>
      <c r="M17" s="122"/>
      <c r="N17" s="122"/>
      <c r="O17" s="122"/>
      <c r="P17" s="122"/>
      <c r="Q17" s="122"/>
      <c r="R17" s="122"/>
    </row>
    <row r="18" spans="1:18" ht="15">
      <c r="A18" s="112"/>
      <c r="B18" s="113"/>
      <c r="C18" s="44"/>
      <c r="D18" s="44"/>
      <c r="E18" s="44"/>
      <c r="F18" s="44"/>
      <c r="G18" s="122"/>
      <c r="H18" s="122"/>
      <c r="I18" s="122"/>
      <c r="J18" s="122"/>
      <c r="K18" s="123"/>
      <c r="L18" s="122"/>
      <c r="M18" s="122"/>
      <c r="N18" s="122"/>
      <c r="O18" s="122"/>
      <c r="P18" s="122"/>
      <c r="Q18" s="122"/>
      <c r="R18" s="122"/>
    </row>
    <row r="19" spans="1:18" ht="15">
      <c r="A19" s="112"/>
      <c r="B19" s="113"/>
      <c r="C19" s="44"/>
      <c r="D19" s="44"/>
      <c r="E19" s="44"/>
      <c r="F19" s="44"/>
      <c r="G19" s="122"/>
      <c r="H19" s="122"/>
      <c r="I19" s="122"/>
      <c r="J19" s="122"/>
      <c r="K19" s="123"/>
      <c r="L19" s="122"/>
      <c r="M19" s="122"/>
      <c r="N19" s="122"/>
      <c r="O19" s="122"/>
      <c r="P19" s="122"/>
      <c r="Q19" s="122"/>
      <c r="R19" s="122"/>
    </row>
    <row r="20" spans="1:18" ht="15">
      <c r="A20" s="116"/>
      <c r="B20" s="116"/>
      <c r="C20" s="116"/>
      <c r="D20" s="116"/>
      <c r="E20" s="116"/>
      <c r="F20" s="116"/>
      <c r="G20" s="116"/>
      <c r="H20" s="117" t="s">
        <v>125</v>
      </c>
      <c r="I20" s="116" t="s">
        <v>127</v>
      </c>
      <c r="J20" s="116"/>
      <c r="K20" s="118"/>
      <c r="L20" s="116"/>
      <c r="M20" s="116"/>
      <c r="N20" s="116"/>
      <c r="O20" s="116"/>
      <c r="P20" s="116"/>
      <c r="Q20" s="116"/>
      <c r="R20" s="116"/>
    </row>
    <row r="21" spans="1:18" ht="15">
      <c r="A21" s="116"/>
      <c r="B21" s="116"/>
      <c r="C21" s="116"/>
      <c r="D21" s="116"/>
      <c r="E21" s="116"/>
      <c r="F21" s="116"/>
      <c r="G21" s="116"/>
      <c r="H21" s="117" t="s">
        <v>126</v>
      </c>
      <c r="I21" s="116" t="s">
        <v>128</v>
      </c>
      <c r="J21" s="116"/>
      <c r="K21" s="118"/>
      <c r="L21" s="116"/>
      <c r="M21" s="116"/>
      <c r="N21" s="116"/>
      <c r="O21" s="116"/>
      <c r="P21" s="116"/>
      <c r="Q21" s="116"/>
      <c r="R21" s="11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6">
      <selection activeCell="E43" sqref="E43"/>
    </sheetView>
  </sheetViews>
  <sheetFormatPr defaultColWidth="11.421875" defaultRowHeight="15"/>
  <cols>
    <col min="1" max="1" width="36.421875" style="0" customWidth="1"/>
    <col min="3" max="3" width="11.57421875" style="0" bestFit="1" customWidth="1"/>
    <col min="5" max="5" width="17.421875" style="0" bestFit="1" customWidth="1"/>
  </cols>
  <sheetData>
    <row r="1" ht="15">
      <c r="A1" t="s">
        <v>130</v>
      </c>
    </row>
    <row r="3" ht="15">
      <c r="A3" t="s">
        <v>131</v>
      </c>
    </row>
    <row r="4" spans="1:2" ht="15">
      <c r="A4" s="20" t="s">
        <v>129</v>
      </c>
      <c r="B4" s="124">
        <f>+'Costo Mano Obra'!F8</f>
        <v>599200</v>
      </c>
    </row>
    <row r="5" spans="1:3" ht="15">
      <c r="A5" s="20"/>
      <c r="B5" s="36"/>
      <c r="C5" s="124"/>
    </row>
    <row r="6" spans="1:3" ht="15">
      <c r="A6" s="125" t="s">
        <v>99</v>
      </c>
      <c r="B6" s="126"/>
      <c r="C6" s="124">
        <f>+'Costo Mano Obra'!K8</f>
        <v>122660.3736</v>
      </c>
    </row>
    <row r="7" spans="1:3" ht="15">
      <c r="A7" s="127" t="s">
        <v>132</v>
      </c>
      <c r="B7" s="128"/>
      <c r="C7" s="124">
        <f>+'Datos Iniciales'!X9</f>
        <v>100000</v>
      </c>
    </row>
    <row r="8" spans="1:3" ht="15">
      <c r="A8" s="129" t="s">
        <v>133</v>
      </c>
      <c r="B8" s="128"/>
      <c r="C8" s="124">
        <f>+'Inventario Activo fijos'!C33</f>
        <v>125000</v>
      </c>
    </row>
    <row r="9" spans="1:3" ht="15">
      <c r="A9" s="127" t="s">
        <v>134</v>
      </c>
      <c r="B9" s="128"/>
      <c r="C9" s="124">
        <f>+'Datos Iniciales'!X11</f>
        <v>260000</v>
      </c>
    </row>
    <row r="10" spans="1:3" ht="15">
      <c r="A10" s="127" t="s">
        <v>135</v>
      </c>
      <c r="B10" s="128"/>
      <c r="C10" s="124">
        <f>+'Datos Iniciales'!X12</f>
        <v>10000</v>
      </c>
    </row>
    <row r="11" spans="1:3" ht="15">
      <c r="A11" s="127" t="s">
        <v>136</v>
      </c>
      <c r="B11" s="128"/>
      <c r="C11" s="124">
        <f>+'Datos Iniciales'!X13</f>
        <v>100000</v>
      </c>
    </row>
    <row r="12" spans="1:3" ht="15">
      <c r="A12" s="116" t="s">
        <v>137</v>
      </c>
      <c r="C12" s="130"/>
    </row>
    <row r="13" spans="1:3" ht="15">
      <c r="A13" s="125" t="s">
        <v>138</v>
      </c>
      <c r="B13" s="126"/>
      <c r="C13" s="124">
        <f>+'Datos Iniciales'!X15</f>
        <v>20000</v>
      </c>
    </row>
    <row r="14" spans="1:3" ht="15">
      <c r="A14" s="127" t="s">
        <v>139</v>
      </c>
      <c r="B14" s="128"/>
      <c r="C14" s="124">
        <f>+'Datos Iniciales'!X16</f>
        <v>10000</v>
      </c>
    </row>
    <row r="15" spans="1:3" ht="15.75" thickBot="1">
      <c r="A15" s="125"/>
      <c r="B15" s="126"/>
      <c r="C15" s="124"/>
    </row>
    <row r="16" spans="1:3" ht="16.5" thickBot="1" thickTop="1">
      <c r="A16" s="21" t="s">
        <v>140</v>
      </c>
      <c r="B16" s="126"/>
      <c r="C16" s="131">
        <f>SUM(C6:C15)+B4</f>
        <v>1346860.3736</v>
      </c>
    </row>
    <row r="17" ht="15.75" thickTop="1"/>
    <row r="18" spans="1:2" ht="15.75">
      <c r="A18" s="132" t="s">
        <v>141</v>
      </c>
      <c r="B18" s="133"/>
    </row>
    <row r="19" ht="15">
      <c r="A19" s="116" t="s">
        <v>142</v>
      </c>
    </row>
    <row r="20" spans="1:2" ht="15">
      <c r="A20" s="20"/>
      <c r="B20" s="20"/>
    </row>
    <row r="21" spans="1:3" ht="15">
      <c r="A21" s="20"/>
      <c r="B21" s="20"/>
      <c r="C21" s="124"/>
    </row>
    <row r="22" spans="1:3" ht="15">
      <c r="A22" s="125" t="s">
        <v>143</v>
      </c>
      <c r="B22" s="126"/>
      <c r="C22" s="124">
        <f>+'Datos Iniciales'!X24</f>
        <v>750000</v>
      </c>
    </row>
    <row r="23" spans="1:3" ht="15">
      <c r="A23" s="127" t="s">
        <v>99</v>
      </c>
      <c r="B23" s="126"/>
      <c r="C23" s="124">
        <f>+'Datos Iniciales'!X25</f>
        <v>10000</v>
      </c>
    </row>
    <row r="24" spans="1:3" ht="15">
      <c r="A24" s="127" t="s">
        <v>144</v>
      </c>
      <c r="B24" s="128"/>
      <c r="C24" s="124">
        <f>+'Datos Iniciales'!X26</f>
        <v>50000</v>
      </c>
    </row>
    <row r="25" spans="1:3" ht="15">
      <c r="A25" s="127" t="s">
        <v>145</v>
      </c>
      <c r="B25" s="128"/>
      <c r="C25" s="124">
        <f>+'Datos Iniciales'!X27</f>
        <v>0</v>
      </c>
    </row>
    <row r="26" spans="1:3" ht="15">
      <c r="A26" s="127" t="s">
        <v>146</v>
      </c>
      <c r="B26" s="128"/>
      <c r="C26" s="124">
        <f>+'Datos Iniciales'!X28</f>
        <v>0</v>
      </c>
    </row>
    <row r="27" spans="1:3" ht="15">
      <c r="A27" s="129" t="s">
        <v>147</v>
      </c>
      <c r="B27" s="128"/>
      <c r="C27" s="124">
        <f>+'Datos Iniciales'!X29</f>
        <v>0</v>
      </c>
    </row>
    <row r="28" spans="1:3" ht="15">
      <c r="A28" s="129" t="s">
        <v>148</v>
      </c>
      <c r="B28" s="128"/>
      <c r="C28" s="124">
        <f>+'Datos Iniciales'!X30</f>
        <v>0</v>
      </c>
    </row>
    <row r="29" spans="1:3" ht="15">
      <c r="A29" s="127" t="s">
        <v>149</v>
      </c>
      <c r="B29" s="128"/>
      <c r="C29" s="124">
        <f>+'Datos Iniciales'!X31</f>
        <v>0</v>
      </c>
    </row>
    <row r="30" spans="1:3" ht="15">
      <c r="A30" s="127" t="s">
        <v>150</v>
      </c>
      <c r="B30" s="128"/>
      <c r="C30" s="124">
        <f>+'Datos Iniciales'!X32</f>
        <v>0</v>
      </c>
    </row>
    <row r="31" spans="1:3" ht="15">
      <c r="A31" s="129" t="s">
        <v>151</v>
      </c>
      <c r="B31" s="128"/>
      <c r="C31" s="124">
        <f>+'Datos Iniciales'!X33</f>
        <v>0</v>
      </c>
    </row>
    <row r="32" spans="1:3" ht="15">
      <c r="A32" s="127" t="s">
        <v>152</v>
      </c>
      <c r="B32" s="128"/>
      <c r="C32" s="124">
        <f>+'Datos Iniciales'!X34</f>
        <v>0</v>
      </c>
    </row>
    <row r="33" spans="1:3" ht="15">
      <c r="A33" s="127" t="s">
        <v>153</v>
      </c>
      <c r="B33" s="128"/>
      <c r="C33" s="124">
        <f>+'Datos Iniciales'!X35</f>
        <v>30000</v>
      </c>
    </row>
    <row r="34" spans="1:3" ht="15">
      <c r="A34" s="134" t="s">
        <v>154</v>
      </c>
      <c r="B34" s="126"/>
      <c r="C34" s="124">
        <f>+'Datos Iniciales'!X36</f>
        <v>90000</v>
      </c>
    </row>
    <row r="35" spans="1:3" ht="15">
      <c r="A35" s="127" t="s">
        <v>155</v>
      </c>
      <c r="B35" s="128"/>
      <c r="C35" s="124">
        <f>+'Datos Iniciales'!X37</f>
        <v>30000</v>
      </c>
    </row>
    <row r="36" spans="1:3" ht="15">
      <c r="A36" s="127" t="s">
        <v>156</v>
      </c>
      <c r="B36" s="128"/>
      <c r="C36" s="124">
        <f>+'Datos Iniciales'!X38</f>
        <v>0</v>
      </c>
    </row>
    <row r="37" spans="1:3" ht="15">
      <c r="A37" s="127" t="s">
        <v>157</v>
      </c>
      <c r="B37" s="135"/>
      <c r="C37" s="124">
        <f>+'Datos Iniciales'!X39</f>
        <v>0</v>
      </c>
    </row>
    <row r="38" spans="1:3" ht="15">
      <c r="A38" s="137" t="s">
        <v>158</v>
      </c>
      <c r="B38" s="135"/>
      <c r="C38" s="124">
        <f>+'Datos Iniciales'!X40</f>
        <v>0</v>
      </c>
    </row>
    <row r="39" spans="1:3" ht="15">
      <c r="A39" s="137" t="s">
        <v>159</v>
      </c>
      <c r="B39" s="135"/>
      <c r="C39" s="124">
        <f>+'Datos Iniciales'!X41</f>
        <v>0</v>
      </c>
    </row>
    <row r="40" spans="1:3" ht="15">
      <c r="A40" s="125"/>
      <c r="B40" s="126"/>
      <c r="C40" s="124">
        <f>+'Datos Iniciales'!X42</f>
        <v>0</v>
      </c>
    </row>
    <row r="41" spans="1:3" ht="15.75" thickBot="1">
      <c r="A41" s="138" t="s">
        <v>160</v>
      </c>
      <c r="B41" s="128"/>
      <c r="C41" s="139">
        <f>SUM(C22:C40)</f>
        <v>960000</v>
      </c>
    </row>
    <row r="42" ht="16.5" thickBot="1" thickTop="1"/>
    <row r="43" spans="1:5" ht="22.5" thickBot="1" thickTop="1">
      <c r="A43" s="140" t="s">
        <v>161</v>
      </c>
      <c r="B43" s="141"/>
      <c r="C43" s="141"/>
      <c r="D43" s="142"/>
      <c r="E43" s="143">
        <f>+C16+C41</f>
        <v>2306860.3736</v>
      </c>
    </row>
    <row r="44" ht="15.7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F30"/>
  <sheetViews>
    <sheetView tabSelected="1" zoomScalePageLayoutView="0" workbookViewId="0" topLeftCell="A1">
      <selection activeCell="A30" sqref="A30:C30"/>
    </sheetView>
  </sheetViews>
  <sheetFormatPr defaultColWidth="11.421875" defaultRowHeight="15"/>
  <cols>
    <col min="1" max="1" width="49.140625" style="0" customWidth="1"/>
    <col min="2" max="2" width="15.57421875" style="0" bestFit="1" customWidth="1"/>
    <col min="3" max="3" width="14.57421875" style="0" bestFit="1" customWidth="1"/>
    <col min="5" max="5" width="13.00390625" style="0" bestFit="1" customWidth="1"/>
    <col min="6" max="6" width="13.421875" style="0" customWidth="1"/>
  </cols>
  <sheetData>
    <row r="3" spans="3:6" ht="15">
      <c r="C3" s="177" t="s">
        <v>60</v>
      </c>
      <c r="D3" s="177"/>
      <c r="E3" s="144">
        <f>+'MC Empresa'!G9</f>
        <v>13125000</v>
      </c>
      <c r="F3" s="144">
        <f>+'MC Empresa'!H9</f>
        <v>3700260</v>
      </c>
    </row>
    <row r="5" spans="1:3" ht="15">
      <c r="A5" s="147" t="s">
        <v>61</v>
      </c>
      <c r="B5" s="47" t="s">
        <v>62</v>
      </c>
      <c r="C5" t="s">
        <v>63</v>
      </c>
    </row>
    <row r="7" spans="1:3" ht="21">
      <c r="A7" s="38" t="s">
        <v>61</v>
      </c>
      <c r="B7" s="47" t="s">
        <v>62</v>
      </c>
      <c r="C7" s="56">
        <f>(F3/E3)</f>
        <v>0.2819245714285714</v>
      </c>
    </row>
    <row r="8" spans="1:3" ht="9" customHeight="1">
      <c r="A8" s="151"/>
      <c r="B8" s="47"/>
      <c r="C8" s="152"/>
    </row>
    <row r="9" spans="1:3" ht="18.75">
      <c r="A9" s="153" t="s">
        <v>165</v>
      </c>
      <c r="B9" s="47" t="s">
        <v>62</v>
      </c>
      <c r="C9" s="150">
        <f>100%-C7</f>
        <v>0.7180754285714286</v>
      </c>
    </row>
    <row r="10" spans="1:3" ht="8.25" customHeight="1">
      <c r="A10" s="149"/>
      <c r="B10" s="47"/>
      <c r="C10" s="150"/>
    </row>
    <row r="11" spans="1:3" ht="15">
      <c r="A11" s="148" t="s">
        <v>64</v>
      </c>
      <c r="B11" s="47" t="s">
        <v>62</v>
      </c>
      <c r="C11" t="s">
        <v>65</v>
      </c>
    </row>
    <row r="13" spans="1:3" ht="15">
      <c r="A13" s="148" t="s">
        <v>64</v>
      </c>
      <c r="B13" s="47" t="s">
        <v>62</v>
      </c>
      <c r="C13" s="50">
        <f>+'Costos fijos y Gastos administ.'!E43/'Punto de equilibrio'!C7</f>
        <v>8182544.578894457</v>
      </c>
    </row>
    <row r="15" ht="15">
      <c r="A15" t="s">
        <v>162</v>
      </c>
    </row>
    <row r="17" spans="1:2" ht="15">
      <c r="A17" s="158" t="s">
        <v>163</v>
      </c>
      <c r="B17" s="52">
        <f>+C13</f>
        <v>8182544.578894457</v>
      </c>
    </row>
    <row r="18" spans="1:2" ht="15.75" thickBot="1">
      <c r="A18" s="7" t="s">
        <v>164</v>
      </c>
      <c r="B18" s="155">
        <f>+B17*C9</f>
        <v>5875684.205294456</v>
      </c>
    </row>
    <row r="19" spans="1:2" ht="15.75" thickTop="1">
      <c r="A19" s="159" t="s">
        <v>166</v>
      </c>
      <c r="B19" s="154">
        <f>+B17-B18</f>
        <v>2306860.3736000005</v>
      </c>
    </row>
    <row r="21" spans="1:2" ht="15.75" thickBot="1">
      <c r="A21" s="160" t="s">
        <v>167</v>
      </c>
      <c r="B21" s="157">
        <f>+'Costos fijos y Gastos administ.'!E43</f>
        <v>2306860.3736</v>
      </c>
    </row>
    <row r="23" spans="1:2" ht="15.75" thickBot="1">
      <c r="A23" s="160" t="s">
        <v>168</v>
      </c>
      <c r="B23" s="156">
        <f>+B19-B21</f>
        <v>0</v>
      </c>
    </row>
    <row r="24" ht="15.75" thickTop="1"/>
    <row r="25" spans="1:3" ht="15">
      <c r="A25" t="s">
        <v>162</v>
      </c>
      <c r="C25" s="20" t="s">
        <v>169</v>
      </c>
    </row>
    <row r="26" spans="1:3" ht="15">
      <c r="A26" s="20" t="s">
        <v>170</v>
      </c>
      <c r="B26" s="146">
        <v>10500000</v>
      </c>
      <c r="C26" s="171">
        <f>+B26/B26</f>
        <v>1</v>
      </c>
    </row>
    <row r="27" spans="1:3" ht="15">
      <c r="A27" s="20" t="s">
        <v>164</v>
      </c>
      <c r="B27" s="146">
        <f>+C9*B26</f>
        <v>7539792</v>
      </c>
      <c r="C27" s="145">
        <f>+B27/B26</f>
        <v>0.7180754285714286</v>
      </c>
    </row>
    <row r="28" spans="1:3" ht="15">
      <c r="A28" s="20" t="s">
        <v>171</v>
      </c>
      <c r="B28" s="146">
        <f>+B26-B27</f>
        <v>2960208</v>
      </c>
      <c r="C28" s="145">
        <f>+B28/B26</f>
        <v>0.2819245714285714</v>
      </c>
    </row>
    <row r="29" spans="1:3" ht="15">
      <c r="A29" s="20" t="s">
        <v>172</v>
      </c>
      <c r="B29" s="146">
        <f>+'Costos fijos y Gastos administ.'!E43</f>
        <v>2306860.3736</v>
      </c>
      <c r="C29" s="145">
        <f>+B29/B26</f>
        <v>0.21970098796190476</v>
      </c>
    </row>
    <row r="30" spans="1:3" ht="18.75">
      <c r="A30" s="172" t="s">
        <v>168</v>
      </c>
      <c r="B30" s="173">
        <f>+B28-B29</f>
        <v>653347.6264</v>
      </c>
      <c r="C30" s="174">
        <f>+B30/B26</f>
        <v>0.06222358346666666</v>
      </c>
    </row>
  </sheetData>
  <sheetProtection/>
  <mergeCells count="1">
    <mergeCell ref="C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FDG</dc:creator>
  <cp:keywords/>
  <dc:description/>
  <cp:lastModifiedBy>fdonneys</cp:lastModifiedBy>
  <dcterms:created xsi:type="dcterms:W3CDTF">2011-02-20T18:49:43Z</dcterms:created>
  <dcterms:modified xsi:type="dcterms:W3CDTF">2013-10-11T14:31:33Z</dcterms:modified>
  <cp:category/>
  <cp:version/>
  <cp:contentType/>
  <cp:contentStatus/>
</cp:coreProperties>
</file>